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Лист1" sheetId="6" r:id="rId1"/>
  </sheets>
  <calcPr calcId="144525"/>
</workbook>
</file>

<file path=xl/calcChain.xml><?xml version="1.0" encoding="utf-8"?>
<calcChain xmlns="http://schemas.openxmlformats.org/spreadsheetml/2006/main">
  <c r="X133" i="6" l="1"/>
  <c r="S133" i="6"/>
  <c r="N133" i="6"/>
  <c r="I133" i="6"/>
  <c r="D133" i="6"/>
  <c r="AH132" i="6"/>
  <c r="AI132" i="6" s="1"/>
  <c r="AF132" i="6"/>
  <c r="AG132" i="6" s="1"/>
  <c r="AA132" i="6"/>
  <c r="W132" i="6"/>
  <c r="U132" i="6"/>
  <c r="R132" i="6"/>
  <c r="P132" i="6"/>
  <c r="M132" i="6"/>
  <c r="K132" i="6"/>
  <c r="H132" i="6"/>
  <c r="F132" i="6"/>
  <c r="AI131" i="6"/>
  <c r="AH131" i="6"/>
  <c r="AG131" i="6"/>
  <c r="AF131" i="6"/>
  <c r="AA131" i="6"/>
  <c r="W131" i="6"/>
  <c r="U131" i="6"/>
  <c r="R131" i="6"/>
  <c r="P131" i="6"/>
  <c r="M131" i="6"/>
  <c r="K131" i="6"/>
  <c r="H131" i="6"/>
  <c r="F131" i="6"/>
  <c r="AH130" i="6"/>
  <c r="AI130" i="6" s="1"/>
  <c r="AF130" i="6"/>
  <c r="AG130" i="6" s="1"/>
  <c r="AA130" i="6"/>
  <c r="W130" i="6"/>
  <c r="U130" i="6"/>
  <c r="R130" i="6"/>
  <c r="P130" i="6"/>
  <c r="M130" i="6"/>
  <c r="K130" i="6"/>
  <c r="H130" i="6"/>
  <c r="F130" i="6"/>
  <c r="AI129" i="6"/>
  <c r="AH129" i="6"/>
  <c r="AG129" i="6"/>
  <c r="AF129" i="6"/>
  <c r="AA129" i="6"/>
  <c r="W129" i="6"/>
  <c r="U129" i="6"/>
  <c r="R129" i="6"/>
  <c r="P129" i="6"/>
  <c r="M129" i="6"/>
  <c r="K129" i="6"/>
  <c r="H129" i="6"/>
  <c r="F129" i="6"/>
  <c r="AH128" i="6"/>
  <c r="AI128" i="6" s="1"/>
  <c r="AF128" i="6"/>
  <c r="AG128" i="6" s="1"/>
  <c r="AA128" i="6"/>
  <c r="W128" i="6"/>
  <c r="U128" i="6"/>
  <c r="R128" i="6"/>
  <c r="P128" i="6"/>
  <c r="M128" i="6"/>
  <c r="K128" i="6"/>
  <c r="H128" i="6"/>
  <c r="F128" i="6"/>
  <c r="AI127" i="6"/>
  <c r="AH127" i="6"/>
  <c r="AG127" i="6"/>
  <c r="AF127" i="6"/>
  <c r="AA127" i="6"/>
  <c r="W127" i="6"/>
  <c r="U127" i="6"/>
  <c r="R127" i="6"/>
  <c r="P127" i="6"/>
  <c r="M127" i="6"/>
  <c r="K127" i="6"/>
  <c r="H127" i="6"/>
  <c r="F127" i="6"/>
  <c r="AH126" i="6"/>
  <c r="AI126" i="6" s="1"/>
  <c r="AF126" i="6"/>
  <c r="AG126" i="6" s="1"/>
  <c r="AA126" i="6"/>
  <c r="W126" i="6"/>
  <c r="U126" i="6"/>
  <c r="R126" i="6"/>
  <c r="P126" i="6"/>
  <c r="M126" i="6"/>
  <c r="K126" i="6"/>
  <c r="H126" i="6"/>
  <c r="F126" i="6"/>
  <c r="AI125" i="6"/>
  <c r="AH125" i="6"/>
  <c r="AG125" i="6"/>
  <c r="AF125" i="6"/>
  <c r="AA125" i="6"/>
  <c r="W125" i="6"/>
  <c r="U125" i="6"/>
  <c r="R125" i="6"/>
  <c r="P125" i="6"/>
  <c r="M125" i="6"/>
  <c r="K125" i="6"/>
  <c r="H125" i="6"/>
  <c r="F125" i="6"/>
  <c r="AH124" i="6"/>
  <c r="AI124" i="6" s="1"/>
  <c r="AF124" i="6"/>
  <c r="AG124" i="6" s="1"/>
  <c r="AA124" i="6"/>
  <c r="W124" i="6"/>
  <c r="U124" i="6"/>
  <c r="R124" i="6"/>
  <c r="P124" i="6"/>
  <c r="M124" i="6"/>
  <c r="K124" i="6"/>
  <c r="H124" i="6"/>
  <c r="F124" i="6"/>
  <c r="AI123" i="6"/>
  <c r="AH123" i="6"/>
  <c r="AG123" i="6"/>
  <c r="AF123" i="6"/>
  <c r="AA123" i="6"/>
  <c r="W123" i="6"/>
  <c r="U123" i="6"/>
  <c r="R123" i="6"/>
  <c r="P123" i="6"/>
  <c r="M123" i="6"/>
  <c r="K123" i="6"/>
  <c r="H123" i="6"/>
  <c r="F123" i="6"/>
  <c r="AH122" i="6"/>
  <c r="AI122" i="6" s="1"/>
  <c r="AF122" i="6"/>
  <c r="AG122" i="6" s="1"/>
  <c r="AA122" i="6"/>
  <c r="W122" i="6"/>
  <c r="U122" i="6"/>
  <c r="R122" i="6"/>
  <c r="P122" i="6"/>
  <c r="M122" i="6"/>
  <c r="K122" i="6"/>
  <c r="H122" i="6"/>
  <c r="F122" i="6"/>
  <c r="AI121" i="6"/>
  <c r="AH121" i="6"/>
  <c r="AG121" i="6"/>
  <c r="AF121" i="6"/>
  <c r="AA121" i="6"/>
  <c r="W121" i="6"/>
  <c r="U121" i="6"/>
  <c r="R121" i="6"/>
  <c r="P121" i="6"/>
  <c r="M121" i="6"/>
  <c r="K121" i="6"/>
  <c r="H121" i="6"/>
  <c r="F121" i="6"/>
  <c r="AH120" i="6"/>
  <c r="AI120" i="6" s="1"/>
  <c r="AF120" i="6"/>
  <c r="AG120" i="6" s="1"/>
  <c r="AA120" i="6"/>
  <c r="W120" i="6"/>
  <c r="U120" i="6"/>
  <c r="R120" i="6"/>
  <c r="P120" i="6"/>
  <c r="M120" i="6"/>
  <c r="K120" i="6"/>
  <c r="H120" i="6"/>
  <c r="F120" i="6"/>
  <c r="AI119" i="6"/>
  <c r="AH119" i="6"/>
  <c r="AF119" i="6"/>
  <c r="AG119" i="6" s="1"/>
  <c r="AA119" i="6"/>
  <c r="W119" i="6"/>
  <c r="U119" i="6"/>
  <c r="R119" i="6"/>
  <c r="P119" i="6"/>
  <c r="M119" i="6"/>
  <c r="K119" i="6"/>
  <c r="H119" i="6"/>
  <c r="F119" i="6"/>
  <c r="AH118" i="6"/>
  <c r="AI118" i="6" s="1"/>
  <c r="AF118" i="6"/>
  <c r="AG118" i="6" s="1"/>
  <c r="AA118" i="6"/>
  <c r="W118" i="6"/>
  <c r="U118" i="6"/>
  <c r="R118" i="6"/>
  <c r="P118" i="6"/>
  <c r="M118" i="6"/>
  <c r="K118" i="6"/>
  <c r="H118" i="6"/>
  <c r="F118" i="6"/>
  <c r="AI117" i="6"/>
  <c r="AH117" i="6"/>
  <c r="AG117" i="6"/>
  <c r="AF117" i="6"/>
  <c r="AA117" i="6"/>
  <c r="W117" i="6"/>
  <c r="U117" i="6"/>
  <c r="R117" i="6"/>
  <c r="P117" i="6"/>
  <c r="M117" i="6"/>
  <c r="K117" i="6"/>
  <c r="H117" i="6"/>
  <c r="F117" i="6"/>
  <c r="AH116" i="6"/>
  <c r="AI116" i="6" s="1"/>
  <c r="AF116" i="6"/>
  <c r="AG116" i="6" s="1"/>
  <c r="AA116" i="6"/>
  <c r="W116" i="6"/>
  <c r="U116" i="6"/>
  <c r="R116" i="6"/>
  <c r="P116" i="6"/>
  <c r="M116" i="6"/>
  <c r="K116" i="6"/>
  <c r="H116" i="6"/>
  <c r="F116" i="6"/>
  <c r="AI115" i="6"/>
  <c r="AH115" i="6"/>
  <c r="AG115" i="6"/>
  <c r="AF115" i="6"/>
  <c r="AA115" i="6"/>
  <c r="W115" i="6"/>
  <c r="U115" i="6"/>
  <c r="R115" i="6"/>
  <c r="P115" i="6"/>
  <c r="M115" i="6"/>
  <c r="K115" i="6"/>
  <c r="H115" i="6"/>
  <c r="F115" i="6"/>
  <c r="AH114" i="6"/>
  <c r="AI114" i="6" s="1"/>
  <c r="AF114" i="6"/>
  <c r="AG114" i="6" s="1"/>
  <c r="AA114" i="6"/>
  <c r="W114" i="6"/>
  <c r="U114" i="6"/>
  <c r="R114" i="6"/>
  <c r="P114" i="6"/>
  <c r="M114" i="6"/>
  <c r="K114" i="6"/>
  <c r="H114" i="6"/>
  <c r="F114" i="6"/>
  <c r="AH113" i="6"/>
  <c r="AI113" i="6" s="1"/>
  <c r="AF113" i="6"/>
  <c r="AG113" i="6" s="1"/>
  <c r="AA113" i="6"/>
  <c r="W113" i="6"/>
  <c r="U113" i="6"/>
  <c r="R113" i="6"/>
  <c r="P113" i="6"/>
  <c r="M113" i="6"/>
  <c r="K113" i="6"/>
  <c r="H113" i="6"/>
  <c r="F113" i="6"/>
  <c r="AH112" i="6"/>
  <c r="AI112" i="6" s="1"/>
  <c r="AF112" i="6"/>
  <c r="AG112" i="6" s="1"/>
  <c r="AA112" i="6"/>
  <c r="W112" i="6"/>
  <c r="U112" i="6"/>
  <c r="R112" i="6"/>
  <c r="P112" i="6"/>
  <c r="M112" i="6"/>
  <c r="K112" i="6"/>
  <c r="H112" i="6"/>
  <c r="F112" i="6"/>
  <c r="AH111" i="6"/>
  <c r="AH133" i="6" s="1"/>
  <c r="AI133" i="6" s="1"/>
  <c r="AF111" i="6"/>
  <c r="AF133" i="6" s="1"/>
  <c r="AG133" i="6" s="1"/>
  <c r="AA111" i="6"/>
  <c r="W111" i="6"/>
  <c r="U111" i="6"/>
  <c r="U133" i="6" s="1"/>
  <c r="V133" i="6" s="1"/>
  <c r="W133" i="6" s="1"/>
  <c r="R111" i="6"/>
  <c r="P111" i="6"/>
  <c r="P133" i="6" s="1"/>
  <c r="Q133" i="6" s="1"/>
  <c r="R133" i="6" s="1"/>
  <c r="M111" i="6"/>
  <c r="K111" i="6"/>
  <c r="K133" i="6" s="1"/>
  <c r="L133" i="6" s="1"/>
  <c r="M133" i="6" s="1"/>
  <c r="H111" i="6"/>
  <c r="F111" i="6"/>
  <c r="F133" i="6" s="1"/>
  <c r="G133" i="6" s="1"/>
  <c r="H133" i="6" s="1"/>
  <c r="X110" i="6"/>
  <c r="S110" i="6"/>
  <c r="N110" i="6"/>
  <c r="I110" i="6"/>
  <c r="D110" i="6"/>
  <c r="C110" i="6"/>
  <c r="AD110" i="6" s="1"/>
  <c r="AI109" i="6"/>
  <c r="AH109" i="6"/>
  <c r="AG109" i="6"/>
  <c r="AF109" i="6"/>
  <c r="AD109" i="6"/>
  <c r="AA109" i="6"/>
  <c r="W109" i="6"/>
  <c r="U109" i="6"/>
  <c r="R109" i="6"/>
  <c r="P109" i="6"/>
  <c r="M109" i="6"/>
  <c r="K109" i="6"/>
  <c r="H109" i="6"/>
  <c r="F109" i="6"/>
  <c r="AH108" i="6"/>
  <c r="AI108" i="6" s="1"/>
  <c r="AF108" i="6"/>
  <c r="AG108" i="6" s="1"/>
  <c r="AD108" i="6"/>
  <c r="AA108" i="6"/>
  <c r="W108" i="6"/>
  <c r="U108" i="6"/>
  <c r="R108" i="6"/>
  <c r="P108" i="6"/>
  <c r="M108" i="6"/>
  <c r="K108" i="6"/>
  <c r="H108" i="6"/>
  <c r="F108" i="6"/>
  <c r="AH107" i="6"/>
  <c r="AI107" i="6" s="1"/>
  <c r="AF107" i="6"/>
  <c r="AG107" i="6" s="1"/>
  <c r="AD107" i="6"/>
  <c r="AA107" i="6"/>
  <c r="W107" i="6"/>
  <c r="U107" i="6"/>
  <c r="R107" i="6"/>
  <c r="P107" i="6"/>
  <c r="M107" i="6"/>
  <c r="K107" i="6"/>
  <c r="H107" i="6"/>
  <c r="F107" i="6"/>
  <c r="AH106" i="6"/>
  <c r="AI106" i="6" s="1"/>
  <c r="AF106" i="6"/>
  <c r="AG106" i="6" s="1"/>
  <c r="AD106" i="6"/>
  <c r="AA106" i="6"/>
  <c r="W106" i="6"/>
  <c r="U106" i="6"/>
  <c r="R106" i="6"/>
  <c r="P106" i="6"/>
  <c r="M106" i="6"/>
  <c r="K106" i="6"/>
  <c r="H106" i="6"/>
  <c r="F106" i="6"/>
  <c r="AH105" i="6"/>
  <c r="AI105" i="6" s="1"/>
  <c r="AF105" i="6"/>
  <c r="AG105" i="6" s="1"/>
  <c r="AD105" i="6"/>
  <c r="AA105" i="6"/>
  <c r="W105" i="6"/>
  <c r="U105" i="6"/>
  <c r="R105" i="6"/>
  <c r="P105" i="6"/>
  <c r="M105" i="6"/>
  <c r="K105" i="6"/>
  <c r="H105" i="6"/>
  <c r="F105" i="6"/>
  <c r="AH104" i="6"/>
  <c r="AI104" i="6" s="1"/>
  <c r="AF104" i="6"/>
  <c r="AG104" i="6" s="1"/>
  <c r="AD104" i="6"/>
  <c r="W104" i="6"/>
  <c r="U104" i="6"/>
  <c r="R104" i="6"/>
  <c r="P104" i="6"/>
  <c r="M104" i="6"/>
  <c r="K104" i="6"/>
  <c r="H104" i="6"/>
  <c r="F104" i="6"/>
  <c r="AI103" i="6"/>
  <c r="AH103" i="6"/>
  <c r="AG103" i="6"/>
  <c r="AF103" i="6"/>
  <c r="AD103" i="6"/>
  <c r="AA103" i="6"/>
  <c r="W103" i="6"/>
  <c r="U103" i="6"/>
  <c r="R103" i="6"/>
  <c r="P103" i="6"/>
  <c r="M103" i="6"/>
  <c r="K103" i="6"/>
  <c r="H103" i="6"/>
  <c r="F103" i="6"/>
  <c r="AI102" i="6"/>
  <c r="AH102" i="6"/>
  <c r="AG102" i="6"/>
  <c r="AF102" i="6"/>
  <c r="AD102" i="6"/>
  <c r="AA102" i="6"/>
  <c r="W102" i="6"/>
  <c r="U102" i="6"/>
  <c r="R102" i="6"/>
  <c r="P102" i="6"/>
  <c r="M102" i="6"/>
  <c r="K102" i="6"/>
  <c r="H102" i="6"/>
  <c r="F102" i="6"/>
  <c r="AI101" i="6"/>
  <c r="AH101" i="6"/>
  <c r="AG101" i="6"/>
  <c r="AF101" i="6"/>
  <c r="AD101" i="6"/>
  <c r="W101" i="6"/>
  <c r="U101" i="6"/>
  <c r="R101" i="6"/>
  <c r="P101" i="6"/>
  <c r="M101" i="6"/>
  <c r="K101" i="6"/>
  <c r="H101" i="6"/>
  <c r="F101" i="6"/>
  <c r="AH100" i="6"/>
  <c r="AI100" i="6" s="1"/>
  <c r="AF100" i="6"/>
  <c r="AG100" i="6" s="1"/>
  <c r="AD100" i="6"/>
  <c r="AA100" i="6"/>
  <c r="W100" i="6"/>
  <c r="U100" i="6"/>
  <c r="R100" i="6"/>
  <c r="P100" i="6"/>
  <c r="M100" i="6"/>
  <c r="K100" i="6"/>
  <c r="H100" i="6"/>
  <c r="F100" i="6"/>
  <c r="AH99" i="6"/>
  <c r="AI99" i="6" s="1"/>
  <c r="AF99" i="6"/>
  <c r="AG99" i="6" s="1"/>
  <c r="AD99" i="6"/>
  <c r="AA99" i="6"/>
  <c r="W99" i="6"/>
  <c r="U99" i="6"/>
  <c r="R99" i="6"/>
  <c r="P99" i="6"/>
  <c r="M99" i="6"/>
  <c r="K99" i="6"/>
  <c r="H99" i="6"/>
  <c r="F99" i="6"/>
  <c r="AH98" i="6"/>
  <c r="AI98" i="6" s="1"/>
  <c r="AF98" i="6"/>
  <c r="AG98" i="6" s="1"/>
  <c r="AD98" i="6"/>
  <c r="AA98" i="6"/>
  <c r="W98" i="6"/>
  <c r="U98" i="6"/>
  <c r="R98" i="6"/>
  <c r="P98" i="6"/>
  <c r="M98" i="6"/>
  <c r="K98" i="6"/>
  <c r="H98" i="6"/>
  <c r="F98" i="6"/>
  <c r="AH97" i="6"/>
  <c r="AI97" i="6" s="1"/>
  <c r="AF97" i="6"/>
  <c r="AG97" i="6" s="1"/>
  <c r="AD97" i="6"/>
  <c r="AA97" i="6"/>
  <c r="W97" i="6"/>
  <c r="U97" i="6"/>
  <c r="R97" i="6"/>
  <c r="P97" i="6"/>
  <c r="M97" i="6"/>
  <c r="K97" i="6"/>
  <c r="H97" i="6"/>
  <c r="F97" i="6"/>
  <c r="AH96" i="6"/>
  <c r="AI96" i="6" s="1"/>
  <c r="AF96" i="6"/>
  <c r="AG96" i="6" s="1"/>
  <c r="AD96" i="6"/>
  <c r="AA96" i="6"/>
  <c r="W96" i="6"/>
  <c r="U96" i="6"/>
  <c r="R96" i="6"/>
  <c r="P96" i="6"/>
  <c r="M96" i="6"/>
  <c r="K96" i="6"/>
  <c r="H96" i="6"/>
  <c r="F96" i="6"/>
  <c r="AH95" i="6"/>
  <c r="AI95" i="6" s="1"/>
  <c r="AF95" i="6"/>
  <c r="AG95" i="6" s="1"/>
  <c r="AD95" i="6"/>
  <c r="AA95" i="6"/>
  <c r="W95" i="6"/>
  <c r="U95" i="6"/>
  <c r="R95" i="6"/>
  <c r="P95" i="6"/>
  <c r="M95" i="6"/>
  <c r="K95" i="6"/>
  <c r="H95" i="6"/>
  <c r="F95" i="6"/>
  <c r="AH94" i="6"/>
  <c r="AI94" i="6" s="1"/>
  <c r="AF94" i="6"/>
  <c r="AG94" i="6" s="1"/>
  <c r="AD94" i="6"/>
  <c r="AA94" i="6"/>
  <c r="W94" i="6"/>
  <c r="U94" i="6"/>
  <c r="R94" i="6"/>
  <c r="P94" i="6"/>
  <c r="M94" i="6"/>
  <c r="K94" i="6"/>
  <c r="H94" i="6"/>
  <c r="F94" i="6"/>
  <c r="AH93" i="6"/>
  <c r="AI93" i="6" s="1"/>
  <c r="AF93" i="6"/>
  <c r="AG93" i="6" s="1"/>
  <c r="AD93" i="6"/>
  <c r="AA93" i="6"/>
  <c r="W93" i="6"/>
  <c r="U93" i="6"/>
  <c r="R93" i="6"/>
  <c r="P93" i="6"/>
  <c r="M93" i="6"/>
  <c r="K93" i="6"/>
  <c r="H93" i="6"/>
  <c r="F93" i="6"/>
  <c r="AH92" i="6"/>
  <c r="AI92" i="6" s="1"/>
  <c r="AF92" i="6"/>
  <c r="AG92" i="6" s="1"/>
  <c r="AD92" i="6"/>
  <c r="AA92" i="6"/>
  <c r="W92" i="6"/>
  <c r="U92" i="6"/>
  <c r="R92" i="6"/>
  <c r="P92" i="6"/>
  <c r="M92" i="6"/>
  <c r="K92" i="6"/>
  <c r="H92" i="6"/>
  <c r="F92" i="6"/>
  <c r="AH91" i="6"/>
  <c r="AI91" i="6" s="1"/>
  <c r="AF91" i="6"/>
  <c r="AG91" i="6" s="1"/>
  <c r="AD91" i="6"/>
  <c r="AA91" i="6"/>
  <c r="W91" i="6"/>
  <c r="U91" i="6"/>
  <c r="R91" i="6"/>
  <c r="P91" i="6"/>
  <c r="M91" i="6"/>
  <c r="K91" i="6"/>
  <c r="H91" i="6"/>
  <c r="F91" i="6"/>
  <c r="AH90" i="6"/>
  <c r="AI90" i="6" s="1"/>
  <c r="AF90" i="6"/>
  <c r="AG90" i="6" s="1"/>
  <c r="AD90" i="6"/>
  <c r="AA90" i="6"/>
  <c r="W90" i="6"/>
  <c r="U90" i="6"/>
  <c r="R90" i="6"/>
  <c r="P90" i="6"/>
  <c r="M90" i="6"/>
  <c r="K90" i="6"/>
  <c r="H90" i="6"/>
  <c r="F90" i="6"/>
  <c r="AH89" i="6"/>
  <c r="AI89" i="6" s="1"/>
  <c r="AF89" i="6"/>
  <c r="AG89" i="6" s="1"/>
  <c r="AD89" i="6"/>
  <c r="AA89" i="6"/>
  <c r="W89" i="6"/>
  <c r="U89" i="6"/>
  <c r="R89" i="6"/>
  <c r="P89" i="6"/>
  <c r="M89" i="6"/>
  <c r="K89" i="6"/>
  <c r="H89" i="6"/>
  <c r="F89" i="6"/>
  <c r="AH88" i="6"/>
  <c r="AI88" i="6" s="1"/>
  <c r="AG88" i="6"/>
  <c r="AF88" i="6"/>
  <c r="AD88" i="6"/>
  <c r="AA88" i="6"/>
  <c r="W88" i="6"/>
  <c r="U88" i="6"/>
  <c r="R88" i="6"/>
  <c r="P88" i="6"/>
  <c r="M88" i="6"/>
  <c r="K88" i="6"/>
  <c r="H88" i="6"/>
  <c r="F88" i="6"/>
  <c r="AI87" i="6"/>
  <c r="AH87" i="6"/>
  <c r="AG87" i="6"/>
  <c r="AF87" i="6"/>
  <c r="AD87" i="6"/>
  <c r="AA87" i="6"/>
  <c r="W87" i="6"/>
  <c r="U87" i="6"/>
  <c r="R87" i="6"/>
  <c r="P87" i="6"/>
  <c r="M87" i="6"/>
  <c r="K87" i="6"/>
  <c r="H87" i="6"/>
  <c r="F87" i="6"/>
  <c r="AI86" i="6"/>
  <c r="AH86" i="6"/>
  <c r="AG86" i="6"/>
  <c r="AF86" i="6"/>
  <c r="AD86" i="6"/>
  <c r="AA86" i="6"/>
  <c r="W86" i="6"/>
  <c r="U86" i="6"/>
  <c r="R86" i="6"/>
  <c r="P86" i="6"/>
  <c r="M86" i="6"/>
  <c r="K86" i="6"/>
  <c r="H86" i="6"/>
  <c r="F86" i="6"/>
  <c r="AI85" i="6"/>
  <c r="AH85" i="6"/>
  <c r="AG85" i="6"/>
  <c r="AF85" i="6"/>
  <c r="AD85" i="6"/>
  <c r="AA85" i="6"/>
  <c r="W85" i="6"/>
  <c r="U85" i="6"/>
  <c r="R85" i="6"/>
  <c r="P85" i="6"/>
  <c r="M85" i="6"/>
  <c r="K85" i="6"/>
  <c r="H85" i="6"/>
  <c r="F85" i="6"/>
  <c r="AI84" i="6"/>
  <c r="AH84" i="6"/>
  <c r="AG84" i="6"/>
  <c r="AF84" i="6"/>
  <c r="AD84" i="6"/>
  <c r="AA84" i="6"/>
  <c r="W84" i="6"/>
  <c r="U84" i="6"/>
  <c r="R84" i="6"/>
  <c r="P84" i="6"/>
  <c r="M84" i="6"/>
  <c r="K84" i="6"/>
  <c r="H84" i="6"/>
  <c r="F84" i="6"/>
  <c r="AI83" i="6"/>
  <c r="AH83" i="6"/>
  <c r="AG83" i="6"/>
  <c r="AF83" i="6"/>
  <c r="AD83" i="6"/>
  <c r="AA83" i="6"/>
  <c r="W83" i="6"/>
  <c r="U83" i="6"/>
  <c r="R83" i="6"/>
  <c r="P83" i="6"/>
  <c r="M83" i="6"/>
  <c r="K83" i="6"/>
  <c r="H83" i="6"/>
  <c r="F83" i="6"/>
  <c r="AI82" i="6"/>
  <c r="AH82" i="6"/>
  <c r="AG82" i="6"/>
  <c r="AF82" i="6"/>
  <c r="AD82" i="6"/>
  <c r="AA82" i="6"/>
  <c r="W82" i="6"/>
  <c r="U82" i="6"/>
  <c r="R82" i="6"/>
  <c r="P82" i="6"/>
  <c r="M82" i="6"/>
  <c r="K82" i="6"/>
  <c r="H82" i="6"/>
  <c r="F82" i="6"/>
  <c r="AI81" i="6"/>
  <c r="AH81" i="6"/>
  <c r="AG81" i="6"/>
  <c r="AF81" i="6"/>
  <c r="AD81" i="6"/>
  <c r="AA81" i="6"/>
  <c r="W81" i="6"/>
  <c r="U81" i="6"/>
  <c r="R81" i="6"/>
  <c r="P81" i="6"/>
  <c r="M81" i="6"/>
  <c r="K81" i="6"/>
  <c r="H81" i="6"/>
  <c r="F81" i="6"/>
  <c r="AI80" i="6"/>
  <c r="AH80" i="6"/>
  <c r="AG80" i="6"/>
  <c r="AF80" i="6"/>
  <c r="AD80" i="6"/>
  <c r="AA80" i="6"/>
  <c r="W80" i="6"/>
  <c r="U80" i="6"/>
  <c r="R80" i="6"/>
  <c r="P80" i="6"/>
  <c r="M80" i="6"/>
  <c r="K80" i="6"/>
  <c r="H80" i="6"/>
  <c r="F80" i="6"/>
  <c r="AI79" i="6"/>
  <c r="AH79" i="6"/>
  <c r="AG79" i="6"/>
  <c r="AF79" i="6"/>
  <c r="AD79" i="6"/>
  <c r="AA79" i="6"/>
  <c r="W79" i="6"/>
  <c r="U79" i="6"/>
  <c r="R79" i="6"/>
  <c r="P79" i="6"/>
  <c r="M79" i="6"/>
  <c r="K79" i="6"/>
  <c r="H79" i="6"/>
  <c r="F79" i="6"/>
  <c r="AI78" i="6"/>
  <c r="AH78" i="6"/>
  <c r="AH110" i="6" s="1"/>
  <c r="AI110" i="6" s="1"/>
  <c r="AG78" i="6"/>
  <c r="AF78" i="6"/>
  <c r="AF110" i="6" s="1"/>
  <c r="AG110" i="6" s="1"/>
  <c r="AD78" i="6"/>
  <c r="AA78" i="6"/>
  <c r="W78" i="6"/>
  <c r="U78" i="6"/>
  <c r="U110" i="6" s="1"/>
  <c r="V110" i="6" s="1"/>
  <c r="W110" i="6" s="1"/>
  <c r="R78" i="6"/>
  <c r="P78" i="6"/>
  <c r="P110" i="6" s="1"/>
  <c r="Q110" i="6" s="1"/>
  <c r="R110" i="6" s="1"/>
  <c r="M78" i="6"/>
  <c r="K78" i="6"/>
  <c r="K110" i="6" s="1"/>
  <c r="L110" i="6" s="1"/>
  <c r="M110" i="6" s="1"/>
  <c r="H78" i="6"/>
  <c r="F78" i="6"/>
  <c r="F110" i="6" s="1"/>
  <c r="G110" i="6" s="1"/>
  <c r="H110" i="6" s="1"/>
  <c r="X77" i="6"/>
  <c r="X134" i="6" s="1"/>
  <c r="S77" i="6"/>
  <c r="S134" i="6" s="1"/>
  <c r="N77" i="6"/>
  <c r="N134" i="6" s="1"/>
  <c r="I77" i="6"/>
  <c r="I134" i="6" s="1"/>
  <c r="D77" i="6"/>
  <c r="D134" i="6" s="1"/>
  <c r="AH76" i="6"/>
  <c r="AI76" i="6" s="1"/>
  <c r="AF76" i="6"/>
  <c r="AG76" i="6" s="1"/>
  <c r="AA76" i="6"/>
  <c r="W76" i="6"/>
  <c r="U76" i="6"/>
  <c r="R76" i="6"/>
  <c r="P76" i="6"/>
  <c r="M76" i="6"/>
  <c r="K76" i="6"/>
  <c r="H76" i="6"/>
  <c r="F76" i="6"/>
  <c r="AI75" i="6"/>
  <c r="AH75" i="6"/>
  <c r="AG75" i="6"/>
  <c r="AF75" i="6"/>
  <c r="AA75" i="6"/>
  <c r="W75" i="6"/>
  <c r="U75" i="6"/>
  <c r="R75" i="6"/>
  <c r="P75" i="6"/>
  <c r="M75" i="6"/>
  <c r="K75" i="6"/>
  <c r="H75" i="6"/>
  <c r="F75" i="6"/>
  <c r="AH74" i="6"/>
  <c r="AI74" i="6" s="1"/>
  <c r="AF74" i="6"/>
  <c r="AG74" i="6" s="1"/>
  <c r="AA74" i="6"/>
  <c r="W74" i="6"/>
  <c r="U74" i="6"/>
  <c r="R74" i="6"/>
  <c r="P74" i="6"/>
  <c r="M74" i="6"/>
  <c r="K74" i="6"/>
  <c r="H74" i="6"/>
  <c r="F74" i="6"/>
  <c r="AI73" i="6"/>
  <c r="AH73" i="6"/>
  <c r="AG73" i="6"/>
  <c r="AF73" i="6"/>
  <c r="AA73" i="6"/>
  <c r="W73" i="6"/>
  <c r="U73" i="6"/>
  <c r="R73" i="6"/>
  <c r="P73" i="6"/>
  <c r="M73" i="6"/>
  <c r="K73" i="6"/>
  <c r="H73" i="6"/>
  <c r="F73" i="6"/>
  <c r="AH72" i="6"/>
  <c r="AI72" i="6" s="1"/>
  <c r="AF72" i="6"/>
  <c r="AG72" i="6" s="1"/>
  <c r="AA72" i="6"/>
  <c r="W72" i="6"/>
  <c r="U72" i="6"/>
  <c r="R72" i="6"/>
  <c r="P72" i="6"/>
  <c r="M72" i="6"/>
  <c r="K72" i="6"/>
  <c r="H72" i="6"/>
  <c r="F72" i="6"/>
  <c r="AI71" i="6"/>
  <c r="AH71" i="6"/>
  <c r="AG71" i="6"/>
  <c r="AF71" i="6"/>
  <c r="AA71" i="6"/>
  <c r="W71" i="6"/>
  <c r="U71" i="6"/>
  <c r="R71" i="6"/>
  <c r="P71" i="6"/>
  <c r="M71" i="6"/>
  <c r="K71" i="6"/>
  <c r="H71" i="6"/>
  <c r="F71" i="6"/>
  <c r="AH70" i="6"/>
  <c r="AI70" i="6" s="1"/>
  <c r="AF70" i="6"/>
  <c r="AG70" i="6" s="1"/>
  <c r="AA70" i="6"/>
  <c r="W70" i="6"/>
  <c r="U70" i="6"/>
  <c r="R70" i="6"/>
  <c r="P70" i="6"/>
  <c r="M70" i="6"/>
  <c r="K70" i="6"/>
  <c r="H70" i="6"/>
  <c r="F70" i="6"/>
  <c r="AI69" i="6"/>
  <c r="AH69" i="6"/>
  <c r="AG69" i="6"/>
  <c r="AF69" i="6"/>
  <c r="AA69" i="6"/>
  <c r="W69" i="6"/>
  <c r="U69" i="6"/>
  <c r="R69" i="6"/>
  <c r="P69" i="6"/>
  <c r="M69" i="6"/>
  <c r="K69" i="6"/>
  <c r="H69" i="6"/>
  <c r="F69" i="6"/>
  <c r="AH68" i="6"/>
  <c r="AI68" i="6" s="1"/>
  <c r="AF68" i="6"/>
  <c r="AG68" i="6" s="1"/>
  <c r="AD68" i="6"/>
  <c r="AA68" i="6"/>
  <c r="W68" i="6"/>
  <c r="U68" i="6"/>
  <c r="R68" i="6"/>
  <c r="P68" i="6"/>
  <c r="M68" i="6"/>
  <c r="K68" i="6"/>
  <c r="H68" i="6"/>
  <c r="F68" i="6"/>
  <c r="AH67" i="6"/>
  <c r="AI67" i="6" s="1"/>
  <c r="AF67" i="6"/>
  <c r="AG67" i="6" s="1"/>
  <c r="AD67" i="6"/>
  <c r="AA67" i="6"/>
  <c r="W67" i="6"/>
  <c r="U67" i="6"/>
  <c r="R67" i="6"/>
  <c r="P67" i="6"/>
  <c r="M67" i="6"/>
  <c r="K67" i="6"/>
  <c r="H67" i="6"/>
  <c r="F67" i="6"/>
  <c r="AH66" i="6"/>
  <c r="AI66" i="6" s="1"/>
  <c r="AF66" i="6"/>
  <c r="AG66" i="6" s="1"/>
  <c r="AD66" i="6"/>
  <c r="AA66" i="6"/>
  <c r="W66" i="6"/>
  <c r="U66" i="6"/>
  <c r="R66" i="6"/>
  <c r="P66" i="6"/>
  <c r="M66" i="6"/>
  <c r="K66" i="6"/>
  <c r="H66" i="6"/>
  <c r="F66" i="6"/>
  <c r="AH65" i="6"/>
  <c r="AI65" i="6" s="1"/>
  <c r="AF65" i="6"/>
  <c r="AG65" i="6" s="1"/>
  <c r="AD65" i="6"/>
  <c r="AA65" i="6"/>
  <c r="W65" i="6"/>
  <c r="U65" i="6"/>
  <c r="R65" i="6"/>
  <c r="P65" i="6"/>
  <c r="M65" i="6"/>
  <c r="K65" i="6"/>
  <c r="H65" i="6"/>
  <c r="F65" i="6"/>
  <c r="AH64" i="6"/>
  <c r="AI64" i="6" s="1"/>
  <c r="AF64" i="6"/>
  <c r="AG64" i="6" s="1"/>
  <c r="AD64" i="6"/>
  <c r="AA64" i="6"/>
  <c r="W64" i="6"/>
  <c r="U64" i="6"/>
  <c r="R64" i="6"/>
  <c r="P64" i="6"/>
  <c r="M64" i="6"/>
  <c r="K64" i="6"/>
  <c r="H64" i="6"/>
  <c r="F64" i="6"/>
  <c r="AH63" i="6"/>
  <c r="AI63" i="6" s="1"/>
  <c r="AF63" i="6"/>
  <c r="AG63" i="6" s="1"/>
  <c r="AD63" i="6"/>
  <c r="AA63" i="6"/>
  <c r="W63" i="6"/>
  <c r="U63" i="6"/>
  <c r="R63" i="6"/>
  <c r="P63" i="6"/>
  <c r="M63" i="6"/>
  <c r="K63" i="6"/>
  <c r="H63" i="6"/>
  <c r="F63" i="6"/>
  <c r="AH62" i="6"/>
  <c r="AI62" i="6" s="1"/>
  <c r="AF62" i="6"/>
  <c r="AG62" i="6" s="1"/>
  <c r="AD62" i="6"/>
  <c r="AA62" i="6"/>
  <c r="W62" i="6"/>
  <c r="U62" i="6"/>
  <c r="R62" i="6"/>
  <c r="P62" i="6"/>
  <c r="M62" i="6"/>
  <c r="K62" i="6"/>
  <c r="H62" i="6"/>
  <c r="F62" i="6"/>
  <c r="AH61" i="6"/>
  <c r="AI61" i="6" s="1"/>
  <c r="AF61" i="6"/>
  <c r="AG61" i="6" s="1"/>
  <c r="AA61" i="6"/>
  <c r="W61" i="6"/>
  <c r="U61" i="6"/>
  <c r="R61" i="6"/>
  <c r="P61" i="6"/>
  <c r="M61" i="6"/>
  <c r="K61" i="6"/>
  <c r="H61" i="6"/>
  <c r="F61" i="6"/>
  <c r="AI60" i="6"/>
  <c r="AH60" i="6"/>
  <c r="AG60" i="6"/>
  <c r="AF60" i="6"/>
  <c r="AA60" i="6"/>
  <c r="W60" i="6"/>
  <c r="U60" i="6"/>
  <c r="R60" i="6"/>
  <c r="P60" i="6"/>
  <c r="M60" i="6"/>
  <c r="K60" i="6"/>
  <c r="H60" i="6"/>
  <c r="F60" i="6"/>
  <c r="AH59" i="6"/>
  <c r="AI59" i="6" s="1"/>
  <c r="AF59" i="6"/>
  <c r="AG59" i="6" s="1"/>
  <c r="AA59" i="6"/>
  <c r="W59" i="6"/>
  <c r="U59" i="6"/>
  <c r="R59" i="6"/>
  <c r="P59" i="6"/>
  <c r="M59" i="6"/>
  <c r="K59" i="6"/>
  <c r="H59" i="6"/>
  <c r="F59" i="6"/>
  <c r="AI58" i="6"/>
  <c r="AH58" i="6"/>
  <c r="AG58" i="6"/>
  <c r="AF58" i="6"/>
  <c r="AA58" i="6"/>
  <c r="W58" i="6"/>
  <c r="U58" i="6"/>
  <c r="R58" i="6"/>
  <c r="P58" i="6"/>
  <c r="M58" i="6"/>
  <c r="K58" i="6"/>
  <c r="H58" i="6"/>
  <c r="F58" i="6"/>
  <c r="AH57" i="6"/>
  <c r="AI57" i="6" s="1"/>
  <c r="AF57" i="6"/>
  <c r="AG57" i="6" s="1"/>
  <c r="AA57" i="6"/>
  <c r="W57" i="6"/>
  <c r="U57" i="6"/>
  <c r="R57" i="6"/>
  <c r="P57" i="6"/>
  <c r="M57" i="6"/>
  <c r="K57" i="6"/>
  <c r="H57" i="6"/>
  <c r="F57" i="6"/>
  <c r="AI56" i="6"/>
  <c r="AH56" i="6"/>
  <c r="AG56" i="6"/>
  <c r="AF56" i="6"/>
  <c r="AA56" i="6"/>
  <c r="W56" i="6"/>
  <c r="U56" i="6"/>
  <c r="R56" i="6"/>
  <c r="P56" i="6"/>
  <c r="M56" i="6"/>
  <c r="K56" i="6"/>
  <c r="H56" i="6"/>
  <c r="F56" i="6"/>
  <c r="AH55" i="6"/>
  <c r="AI55" i="6" s="1"/>
  <c r="AF55" i="6"/>
  <c r="AG55" i="6" s="1"/>
  <c r="AD55" i="6"/>
  <c r="AA55" i="6"/>
  <c r="W55" i="6"/>
  <c r="U55" i="6"/>
  <c r="R55" i="6"/>
  <c r="P55" i="6"/>
  <c r="M55" i="6"/>
  <c r="K55" i="6"/>
  <c r="H55" i="6"/>
  <c r="F55" i="6"/>
  <c r="AH54" i="6"/>
  <c r="AI54" i="6" s="1"/>
  <c r="AF54" i="6"/>
  <c r="AG54" i="6" s="1"/>
  <c r="AD54" i="6"/>
  <c r="AA54" i="6"/>
  <c r="W54" i="6"/>
  <c r="U54" i="6"/>
  <c r="R54" i="6"/>
  <c r="M54" i="6"/>
  <c r="K54" i="6"/>
  <c r="H54" i="6"/>
  <c r="F54" i="6"/>
  <c r="AI53" i="6"/>
  <c r="AH53" i="6"/>
  <c r="AG53" i="6"/>
  <c r="AF53" i="6"/>
  <c r="AD53" i="6"/>
  <c r="AA53" i="6"/>
  <c r="W53" i="6"/>
  <c r="U53" i="6"/>
  <c r="R53" i="6"/>
  <c r="P53" i="6"/>
  <c r="M53" i="6"/>
  <c r="K53" i="6"/>
  <c r="H53" i="6"/>
  <c r="F53" i="6"/>
  <c r="AI52" i="6"/>
  <c r="AH52" i="6"/>
  <c r="AG52" i="6"/>
  <c r="AF52" i="6"/>
  <c r="AD52" i="6"/>
  <c r="AA52" i="6"/>
  <c r="W52" i="6"/>
  <c r="U52" i="6"/>
  <c r="R52" i="6"/>
  <c r="P52" i="6"/>
  <c r="M52" i="6"/>
  <c r="K52" i="6"/>
  <c r="H52" i="6"/>
  <c r="F52" i="6"/>
  <c r="AI51" i="6"/>
  <c r="AH51" i="6"/>
  <c r="AG51" i="6"/>
  <c r="AF51" i="6"/>
  <c r="AD51" i="6"/>
  <c r="AA51" i="6"/>
  <c r="R51" i="6"/>
  <c r="P51" i="6"/>
  <c r="M51" i="6"/>
  <c r="K51" i="6"/>
  <c r="H51" i="6"/>
  <c r="F51" i="6"/>
  <c r="AI50" i="6"/>
  <c r="AH50" i="6"/>
  <c r="AG50" i="6"/>
  <c r="AF50" i="6"/>
  <c r="AD50" i="6"/>
  <c r="AA50" i="6"/>
  <c r="W50" i="6"/>
  <c r="U50" i="6"/>
  <c r="R50" i="6"/>
  <c r="P50" i="6"/>
  <c r="M50" i="6"/>
  <c r="K50" i="6"/>
  <c r="H50" i="6"/>
  <c r="F50" i="6"/>
  <c r="AI49" i="6"/>
  <c r="AH49" i="6"/>
  <c r="AG49" i="6"/>
  <c r="AF49" i="6"/>
  <c r="AD49" i="6"/>
  <c r="AA49" i="6"/>
  <c r="W49" i="6"/>
  <c r="U49" i="6"/>
  <c r="R49" i="6"/>
  <c r="P49" i="6"/>
  <c r="M49" i="6"/>
  <c r="K49" i="6"/>
  <c r="H49" i="6"/>
  <c r="F49" i="6"/>
  <c r="AI48" i="6"/>
  <c r="AH48" i="6"/>
  <c r="AG48" i="6"/>
  <c r="AF48" i="6"/>
  <c r="AD48" i="6"/>
  <c r="AA48" i="6"/>
  <c r="W48" i="6"/>
  <c r="U48" i="6"/>
  <c r="R48" i="6"/>
  <c r="P48" i="6"/>
  <c r="M48" i="6"/>
  <c r="K48" i="6"/>
  <c r="H48" i="6"/>
  <c r="F48" i="6"/>
  <c r="AI47" i="6"/>
  <c r="AH47" i="6"/>
  <c r="AG47" i="6"/>
  <c r="AF47" i="6"/>
  <c r="AD47" i="6"/>
  <c r="AA47" i="6"/>
  <c r="W47" i="6"/>
  <c r="U47" i="6"/>
  <c r="R47" i="6"/>
  <c r="P47" i="6"/>
  <c r="M47" i="6"/>
  <c r="K47" i="6"/>
  <c r="H47" i="6"/>
  <c r="F47" i="6"/>
  <c r="AI46" i="6"/>
  <c r="AH46" i="6"/>
  <c r="AG46" i="6"/>
  <c r="AF46" i="6"/>
  <c r="AD46" i="6"/>
  <c r="AA46" i="6"/>
  <c r="W46" i="6"/>
  <c r="U46" i="6"/>
  <c r="R46" i="6"/>
  <c r="P46" i="6"/>
  <c r="M46" i="6"/>
  <c r="K46" i="6"/>
  <c r="H46" i="6"/>
  <c r="F46" i="6"/>
  <c r="AI45" i="6"/>
  <c r="AH45" i="6"/>
  <c r="AG45" i="6"/>
  <c r="AF45" i="6"/>
  <c r="AD45" i="6"/>
  <c r="W45" i="6"/>
  <c r="U45" i="6"/>
  <c r="R45" i="6"/>
  <c r="P45" i="6"/>
  <c r="M45" i="6"/>
  <c r="K45" i="6"/>
  <c r="H45" i="6"/>
  <c r="F45" i="6"/>
  <c r="AH44" i="6"/>
  <c r="AI44" i="6" s="1"/>
  <c r="AF44" i="6"/>
  <c r="AG44" i="6" s="1"/>
  <c r="AD44" i="6"/>
  <c r="AA44" i="6"/>
  <c r="W44" i="6"/>
  <c r="U44" i="6"/>
  <c r="R44" i="6"/>
  <c r="P44" i="6"/>
  <c r="H44" i="6"/>
  <c r="F44" i="6"/>
  <c r="AH43" i="6"/>
  <c r="AI43" i="6" s="1"/>
  <c r="AF43" i="6"/>
  <c r="AG43" i="6" s="1"/>
  <c r="AD43" i="6"/>
  <c r="AA43" i="6"/>
  <c r="W43" i="6"/>
  <c r="U43" i="6"/>
  <c r="R43" i="6"/>
  <c r="P43" i="6"/>
  <c r="H43" i="6"/>
  <c r="F43" i="6"/>
  <c r="AH42" i="6"/>
  <c r="AI42" i="6" s="1"/>
  <c r="AF42" i="6"/>
  <c r="AG42" i="6" s="1"/>
  <c r="AD42" i="6"/>
  <c r="AA42" i="6"/>
  <c r="W42" i="6"/>
  <c r="U42" i="6"/>
  <c r="R42" i="6"/>
  <c r="P42" i="6"/>
  <c r="M42" i="6"/>
  <c r="K42" i="6"/>
  <c r="H42" i="6"/>
  <c r="F42" i="6"/>
  <c r="AH41" i="6"/>
  <c r="AI41" i="6" s="1"/>
  <c r="AF41" i="6"/>
  <c r="AG41" i="6" s="1"/>
  <c r="AD41" i="6"/>
  <c r="AA41" i="6"/>
  <c r="W41" i="6"/>
  <c r="U41" i="6"/>
  <c r="R41" i="6"/>
  <c r="P41" i="6"/>
  <c r="M41" i="6"/>
  <c r="K41" i="6"/>
  <c r="H41" i="6"/>
  <c r="F41" i="6"/>
  <c r="AH40" i="6"/>
  <c r="AI40" i="6" s="1"/>
  <c r="AF40" i="6"/>
  <c r="AG40" i="6" s="1"/>
  <c r="AD40" i="6"/>
  <c r="AA40" i="6"/>
  <c r="W40" i="6"/>
  <c r="U40" i="6"/>
  <c r="R40" i="6"/>
  <c r="P40" i="6"/>
  <c r="M40" i="6"/>
  <c r="K40" i="6"/>
  <c r="H40" i="6"/>
  <c r="F40" i="6"/>
  <c r="AH39" i="6"/>
  <c r="AI39" i="6" s="1"/>
  <c r="AF39" i="6"/>
  <c r="AG39" i="6" s="1"/>
  <c r="AD39" i="6"/>
  <c r="AA39" i="6"/>
  <c r="W39" i="6"/>
  <c r="U39" i="6"/>
  <c r="R39" i="6"/>
  <c r="P39" i="6"/>
  <c r="M39" i="6"/>
  <c r="K39" i="6"/>
  <c r="H39" i="6"/>
  <c r="F39" i="6"/>
  <c r="AH38" i="6"/>
  <c r="AI38" i="6" s="1"/>
  <c r="AF38" i="6"/>
  <c r="AG38" i="6" s="1"/>
  <c r="AD38" i="6"/>
  <c r="AA38" i="6"/>
  <c r="W38" i="6"/>
  <c r="U38" i="6"/>
  <c r="R38" i="6"/>
  <c r="P38" i="6"/>
  <c r="M38" i="6"/>
  <c r="K38" i="6"/>
  <c r="H38" i="6"/>
  <c r="F38" i="6"/>
  <c r="AH37" i="6"/>
  <c r="AI37" i="6" s="1"/>
  <c r="AF37" i="6"/>
  <c r="AG37" i="6" s="1"/>
  <c r="AD37" i="6"/>
  <c r="AA37" i="6"/>
  <c r="W37" i="6"/>
  <c r="U37" i="6"/>
  <c r="R37" i="6"/>
  <c r="P37" i="6"/>
  <c r="M37" i="6"/>
  <c r="K37" i="6"/>
  <c r="H37" i="6"/>
  <c r="F37" i="6"/>
  <c r="AH36" i="6"/>
  <c r="AI36" i="6" s="1"/>
  <c r="AF36" i="6"/>
  <c r="AG36" i="6" s="1"/>
  <c r="AD36" i="6"/>
  <c r="AA36" i="6"/>
  <c r="W36" i="6"/>
  <c r="U36" i="6"/>
  <c r="P36" i="6"/>
  <c r="M36" i="6"/>
  <c r="K36" i="6"/>
  <c r="H36" i="6"/>
  <c r="F36" i="6"/>
  <c r="AI35" i="6"/>
  <c r="AH35" i="6"/>
  <c r="AG35" i="6"/>
  <c r="AF35" i="6"/>
  <c r="AD35" i="6"/>
  <c r="AA35" i="6"/>
  <c r="W35" i="6"/>
  <c r="U35" i="6"/>
  <c r="R35" i="6"/>
  <c r="P35" i="6"/>
  <c r="M35" i="6"/>
  <c r="K35" i="6"/>
  <c r="H35" i="6"/>
  <c r="F35" i="6"/>
  <c r="AI34" i="6"/>
  <c r="AH34" i="6"/>
  <c r="AG34" i="6"/>
  <c r="AF34" i="6"/>
  <c r="AD34" i="6"/>
  <c r="AA34" i="6"/>
  <c r="W34" i="6"/>
  <c r="U34" i="6"/>
  <c r="R34" i="6"/>
  <c r="P34" i="6"/>
  <c r="M34" i="6"/>
  <c r="K34" i="6"/>
  <c r="H34" i="6"/>
  <c r="F34" i="6"/>
  <c r="AI33" i="6"/>
  <c r="AH33" i="6"/>
  <c r="AG33" i="6"/>
  <c r="AF33" i="6"/>
  <c r="AD33" i="6"/>
  <c r="AA33" i="6"/>
  <c r="W33" i="6"/>
  <c r="U33" i="6"/>
  <c r="R33" i="6"/>
  <c r="P33" i="6"/>
  <c r="M33" i="6"/>
  <c r="K33" i="6"/>
  <c r="H33" i="6"/>
  <c r="F33" i="6"/>
  <c r="AI32" i="6"/>
  <c r="AH32" i="6"/>
  <c r="AG32" i="6"/>
  <c r="AF32" i="6"/>
  <c r="AD32" i="6"/>
  <c r="AA32" i="6"/>
  <c r="W32" i="6"/>
  <c r="U32" i="6"/>
  <c r="R32" i="6"/>
  <c r="P32" i="6"/>
  <c r="M32" i="6"/>
  <c r="K32" i="6"/>
  <c r="H32" i="6"/>
  <c r="F32" i="6"/>
  <c r="AI31" i="6"/>
  <c r="AH31" i="6"/>
  <c r="AG31" i="6"/>
  <c r="AF31" i="6"/>
  <c r="AD31" i="6"/>
  <c r="AA31" i="6"/>
  <c r="W31" i="6"/>
  <c r="U31" i="6"/>
  <c r="R31" i="6"/>
  <c r="P31" i="6"/>
  <c r="M31" i="6"/>
  <c r="K31" i="6"/>
  <c r="H31" i="6"/>
  <c r="F31" i="6"/>
  <c r="AI30" i="6"/>
  <c r="AH30" i="6"/>
  <c r="AG30" i="6"/>
  <c r="AF30" i="6"/>
  <c r="AD30" i="6"/>
  <c r="AA30" i="6"/>
  <c r="W30" i="6"/>
  <c r="U30" i="6"/>
  <c r="R30" i="6"/>
  <c r="P30" i="6"/>
  <c r="M30" i="6"/>
  <c r="K30" i="6"/>
  <c r="H30" i="6"/>
  <c r="F30" i="6"/>
  <c r="AI29" i="6"/>
  <c r="AH29" i="6"/>
  <c r="AG29" i="6"/>
  <c r="AF29" i="6"/>
  <c r="AD29" i="6"/>
  <c r="AA29" i="6"/>
  <c r="W29" i="6"/>
  <c r="U29" i="6"/>
  <c r="R29" i="6"/>
  <c r="P29" i="6"/>
  <c r="M29" i="6"/>
  <c r="K29" i="6"/>
  <c r="H29" i="6"/>
  <c r="F29" i="6"/>
  <c r="AI28" i="6"/>
  <c r="AH28" i="6"/>
  <c r="AG28" i="6"/>
  <c r="AF28" i="6"/>
  <c r="AD28" i="6"/>
  <c r="AA28" i="6"/>
  <c r="W28" i="6"/>
  <c r="U28" i="6"/>
  <c r="R28" i="6"/>
  <c r="P28" i="6"/>
  <c r="M28" i="6"/>
  <c r="K28" i="6"/>
  <c r="H28" i="6"/>
  <c r="F28" i="6"/>
  <c r="AI27" i="6"/>
  <c r="AH27" i="6"/>
  <c r="AG27" i="6"/>
  <c r="AF27" i="6"/>
  <c r="AD27" i="6"/>
  <c r="AA27" i="6"/>
  <c r="W27" i="6"/>
  <c r="U27" i="6"/>
  <c r="R27" i="6"/>
  <c r="P27" i="6"/>
  <c r="M27" i="6"/>
  <c r="H27" i="6"/>
  <c r="F27" i="6"/>
  <c r="AH26" i="6"/>
  <c r="AI26" i="6" s="1"/>
  <c r="AF26" i="6"/>
  <c r="AG26" i="6" s="1"/>
  <c r="AD26" i="6"/>
  <c r="AA26" i="6"/>
  <c r="W26" i="6"/>
  <c r="U26" i="6"/>
  <c r="R26" i="6"/>
  <c r="P26" i="6"/>
  <c r="M26" i="6"/>
  <c r="K26" i="6"/>
  <c r="H26" i="6"/>
  <c r="F26" i="6"/>
  <c r="AH25" i="6"/>
  <c r="AI25" i="6" s="1"/>
  <c r="AF25" i="6"/>
  <c r="AG25" i="6" s="1"/>
  <c r="AD25" i="6"/>
  <c r="AA25" i="6"/>
  <c r="W25" i="6"/>
  <c r="U25" i="6"/>
  <c r="R25" i="6"/>
  <c r="P25" i="6"/>
  <c r="M25" i="6"/>
  <c r="K25" i="6"/>
  <c r="H25" i="6"/>
  <c r="F25" i="6"/>
  <c r="AH24" i="6"/>
  <c r="AI24" i="6" s="1"/>
  <c r="AF24" i="6"/>
  <c r="AG24" i="6" s="1"/>
  <c r="AD24" i="6"/>
  <c r="AA24" i="6"/>
  <c r="W24" i="6"/>
  <c r="U24" i="6"/>
  <c r="R24" i="6"/>
  <c r="P24" i="6"/>
  <c r="M24" i="6"/>
  <c r="K24" i="6"/>
  <c r="H24" i="6"/>
  <c r="F24" i="6"/>
  <c r="AH23" i="6"/>
  <c r="AI23" i="6" s="1"/>
  <c r="AF23" i="6"/>
  <c r="AG23" i="6" s="1"/>
  <c r="AD23" i="6"/>
  <c r="AA23" i="6"/>
  <c r="W23" i="6"/>
  <c r="U23" i="6"/>
  <c r="R23" i="6"/>
  <c r="P23" i="6"/>
  <c r="M23" i="6"/>
  <c r="K23" i="6"/>
  <c r="H23" i="6"/>
  <c r="F23" i="6"/>
  <c r="AH22" i="6"/>
  <c r="AI22" i="6" s="1"/>
  <c r="AF22" i="6"/>
  <c r="AG22" i="6" s="1"/>
  <c r="AD22" i="6"/>
  <c r="AA22" i="6"/>
  <c r="W22" i="6"/>
  <c r="U22" i="6"/>
  <c r="R22" i="6"/>
  <c r="P22" i="6"/>
  <c r="M22" i="6"/>
  <c r="K22" i="6"/>
  <c r="H22" i="6"/>
  <c r="F22" i="6"/>
  <c r="AH21" i="6"/>
  <c r="AI21" i="6" s="1"/>
  <c r="AF21" i="6"/>
  <c r="AG21" i="6" s="1"/>
  <c r="AD21" i="6"/>
  <c r="AA21" i="6"/>
  <c r="W21" i="6"/>
  <c r="U21" i="6"/>
  <c r="R21" i="6"/>
  <c r="P21" i="6"/>
  <c r="M21" i="6"/>
  <c r="K21" i="6"/>
  <c r="H21" i="6"/>
  <c r="F21" i="6"/>
  <c r="AH20" i="6"/>
  <c r="AI20" i="6" s="1"/>
  <c r="AF20" i="6"/>
  <c r="AG20" i="6" s="1"/>
  <c r="AD20" i="6"/>
  <c r="AA20" i="6"/>
  <c r="W20" i="6"/>
  <c r="U20" i="6"/>
  <c r="R20" i="6"/>
  <c r="P20" i="6"/>
  <c r="M20" i="6"/>
  <c r="K20" i="6"/>
  <c r="H20" i="6"/>
  <c r="F20" i="6"/>
  <c r="AH19" i="6"/>
  <c r="AI19" i="6" s="1"/>
  <c r="AF19" i="6"/>
  <c r="AG19" i="6" s="1"/>
  <c r="AD19" i="6"/>
  <c r="AA19" i="6"/>
  <c r="W19" i="6"/>
  <c r="U19" i="6"/>
  <c r="R19" i="6"/>
  <c r="P19" i="6"/>
  <c r="M19" i="6"/>
  <c r="K19" i="6"/>
  <c r="H19" i="6"/>
  <c r="F19" i="6"/>
  <c r="AH18" i="6"/>
  <c r="AI18" i="6" s="1"/>
  <c r="AF18" i="6"/>
  <c r="AG18" i="6" s="1"/>
  <c r="AD18" i="6"/>
  <c r="AA18" i="6"/>
  <c r="W18" i="6"/>
  <c r="U18" i="6"/>
  <c r="R18" i="6"/>
  <c r="P18" i="6"/>
  <c r="M18" i="6"/>
  <c r="K18" i="6"/>
  <c r="H18" i="6"/>
  <c r="F18" i="6"/>
  <c r="AH17" i="6"/>
  <c r="AI17" i="6" s="1"/>
  <c r="AF17" i="6"/>
  <c r="AG17" i="6" s="1"/>
  <c r="AD17" i="6"/>
  <c r="AA17" i="6"/>
  <c r="W17" i="6"/>
  <c r="U17" i="6"/>
  <c r="R17" i="6"/>
  <c r="P17" i="6"/>
  <c r="M17" i="6"/>
  <c r="K17" i="6"/>
  <c r="H17" i="6"/>
  <c r="F17" i="6"/>
  <c r="AH16" i="6"/>
  <c r="AI16" i="6" s="1"/>
  <c r="AF16" i="6"/>
  <c r="AG16" i="6" s="1"/>
  <c r="AD16" i="6"/>
  <c r="AA16" i="6"/>
  <c r="W16" i="6"/>
  <c r="U16" i="6"/>
  <c r="R16" i="6"/>
  <c r="P16" i="6"/>
  <c r="M16" i="6"/>
  <c r="K16" i="6"/>
  <c r="H16" i="6"/>
  <c r="F16" i="6"/>
  <c r="AH15" i="6"/>
  <c r="AI15" i="6" s="1"/>
  <c r="AF15" i="6"/>
  <c r="AG15" i="6" s="1"/>
  <c r="AD15" i="6"/>
  <c r="AA15" i="6"/>
  <c r="W15" i="6"/>
  <c r="U15" i="6"/>
  <c r="R15" i="6"/>
  <c r="P15" i="6"/>
  <c r="M15" i="6"/>
  <c r="K15" i="6"/>
  <c r="H15" i="6"/>
  <c r="F15" i="6"/>
  <c r="AH14" i="6"/>
  <c r="AI14" i="6" s="1"/>
  <c r="AF14" i="6"/>
  <c r="AG14" i="6" s="1"/>
  <c r="AD14" i="6"/>
  <c r="AA14" i="6"/>
  <c r="W14" i="6"/>
  <c r="U14" i="6"/>
  <c r="R14" i="6"/>
  <c r="P14" i="6"/>
  <c r="M14" i="6"/>
  <c r="K14" i="6"/>
  <c r="H14" i="6"/>
  <c r="F14" i="6"/>
  <c r="AH13" i="6"/>
  <c r="AI13" i="6" s="1"/>
  <c r="AF13" i="6"/>
  <c r="AG13" i="6" s="1"/>
  <c r="AD13" i="6"/>
  <c r="W13" i="6"/>
  <c r="U13" i="6"/>
  <c r="R13" i="6"/>
  <c r="P13" i="6"/>
  <c r="M13" i="6"/>
  <c r="H13" i="6"/>
  <c r="F13" i="6"/>
  <c r="AH12" i="6"/>
  <c r="AI12" i="6" s="1"/>
  <c r="AF12" i="6"/>
  <c r="AG12" i="6" s="1"/>
  <c r="AD12" i="6"/>
  <c r="AA12" i="6"/>
  <c r="W12" i="6"/>
  <c r="U12" i="6"/>
  <c r="R12" i="6"/>
  <c r="P12" i="6"/>
  <c r="M12" i="6"/>
  <c r="K12" i="6"/>
  <c r="H12" i="6"/>
  <c r="F12" i="6"/>
  <c r="AH11" i="6"/>
  <c r="AI11" i="6" s="1"/>
  <c r="AF11" i="6"/>
  <c r="AG11" i="6" s="1"/>
  <c r="AD11" i="6"/>
  <c r="AA11" i="6"/>
  <c r="W11" i="6"/>
  <c r="U11" i="6"/>
  <c r="R11" i="6"/>
  <c r="P11" i="6"/>
  <c r="M11" i="6"/>
  <c r="K11" i="6"/>
  <c r="H11" i="6"/>
  <c r="F11" i="6"/>
  <c r="AH10" i="6"/>
  <c r="AI10" i="6" s="1"/>
  <c r="AF10" i="6"/>
  <c r="AG10" i="6" s="1"/>
  <c r="AA10" i="6"/>
  <c r="W10" i="6"/>
  <c r="U10" i="6"/>
  <c r="R10" i="6"/>
  <c r="P10" i="6"/>
  <c r="M10" i="6"/>
  <c r="K10" i="6"/>
  <c r="H10" i="6"/>
  <c r="F10" i="6"/>
  <c r="AI9" i="6"/>
  <c r="AH9" i="6"/>
  <c r="AG9" i="6"/>
  <c r="AF9" i="6"/>
  <c r="AD9" i="6"/>
  <c r="AA9" i="6"/>
  <c r="W9" i="6"/>
  <c r="U9" i="6"/>
  <c r="R9" i="6"/>
  <c r="P9" i="6"/>
  <c r="M9" i="6"/>
  <c r="K9" i="6"/>
  <c r="H9" i="6"/>
  <c r="F9" i="6"/>
  <c r="AI8" i="6"/>
  <c r="AH8" i="6"/>
  <c r="AG8" i="6"/>
  <c r="AF8" i="6"/>
  <c r="AD8" i="6"/>
  <c r="AA8" i="6"/>
  <c r="W8" i="6"/>
  <c r="U8" i="6"/>
  <c r="R8" i="6"/>
  <c r="P8" i="6"/>
  <c r="M8" i="6"/>
  <c r="K8" i="6"/>
  <c r="H8" i="6"/>
  <c r="F8" i="6"/>
  <c r="AI7" i="6"/>
  <c r="AH7" i="6"/>
  <c r="AH77" i="6" s="1"/>
  <c r="AG7" i="6"/>
  <c r="AF7" i="6"/>
  <c r="AF77" i="6" s="1"/>
  <c r="AD7" i="6"/>
  <c r="AA7" i="6"/>
  <c r="W7" i="6"/>
  <c r="U7" i="6"/>
  <c r="U77" i="6" s="1"/>
  <c r="R7" i="6"/>
  <c r="P7" i="6"/>
  <c r="P77" i="6" s="1"/>
  <c r="M7" i="6"/>
  <c r="K7" i="6"/>
  <c r="K77" i="6" s="1"/>
  <c r="H7" i="6"/>
  <c r="F7" i="6"/>
  <c r="F77" i="6" s="1"/>
  <c r="F134" i="6" l="1"/>
  <c r="G134" i="6" s="1"/>
  <c r="H134" i="6" s="1"/>
  <c r="G77" i="6"/>
  <c r="H77" i="6" s="1"/>
  <c r="K134" i="6"/>
  <c r="L134" i="6" s="1"/>
  <c r="M134" i="6" s="1"/>
  <c r="L77" i="6"/>
  <c r="M77" i="6" s="1"/>
  <c r="P134" i="6"/>
  <c r="Q134" i="6" s="1"/>
  <c r="R134" i="6" s="1"/>
  <c r="Q77" i="6"/>
  <c r="R77" i="6" s="1"/>
  <c r="U134" i="6"/>
  <c r="V134" i="6" s="1"/>
  <c r="W134" i="6" s="1"/>
  <c r="V77" i="6"/>
  <c r="W77" i="6" s="1"/>
  <c r="AF134" i="6"/>
  <c r="AG134" i="6" s="1"/>
  <c r="AG77" i="6"/>
  <c r="AH134" i="6"/>
  <c r="AI134" i="6" s="1"/>
  <c r="AI77" i="6"/>
  <c r="AA110" i="6"/>
  <c r="AG111" i="6"/>
  <c r="AI111" i="6"/>
</calcChain>
</file>

<file path=xl/comments1.xml><?xml version="1.0" encoding="utf-8"?>
<comments xmlns="http://schemas.openxmlformats.org/spreadsheetml/2006/main">
  <authors>
    <author>ADMIN</author>
  </authors>
  <commentList>
    <comment ref="AC27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деньгами</t>
        </r>
      </text>
    </comment>
    <comment ref="AC5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деньгами
</t>
        </r>
      </text>
    </comment>
  </commentList>
</comments>
</file>

<file path=xl/sharedStrings.xml><?xml version="1.0" encoding="utf-8"?>
<sst xmlns="http://schemas.openxmlformats.org/spreadsheetml/2006/main" count="393" uniqueCount="202">
  <si>
    <t xml:space="preserve">                                                                                                        ИНФОРМАЦИЯ</t>
  </si>
  <si>
    <t xml:space="preserve">                                     о выданной сельскохозяйственной продукции за аренду земли агрохозяйствами Гагаузии в 2016 году</t>
  </si>
  <si>
    <t>№ п/п</t>
  </si>
  <si>
    <t>Наименование агрохозяйства</t>
  </si>
  <si>
    <t>Размер квоты,га</t>
  </si>
  <si>
    <t>К-во полных квот</t>
  </si>
  <si>
    <t>озимая пшеница</t>
  </si>
  <si>
    <t>ячмень</t>
  </si>
  <si>
    <t>кукуруза</t>
  </si>
  <si>
    <t>подсолнечник</t>
  </si>
  <si>
    <t>прочая продукция</t>
  </si>
  <si>
    <t>по ценам хозяйств</t>
  </si>
  <si>
    <t>по договору на 1 квоту, кг</t>
  </si>
  <si>
    <t xml:space="preserve"> фактически выдано, тонн</t>
  </si>
  <si>
    <t>в том числе</t>
  </si>
  <si>
    <t>в т. числе</t>
  </si>
  <si>
    <t xml:space="preserve"> наименован. продукции</t>
  </si>
  <si>
    <t>по договору  в денежном выр.на 1 квоту, лей</t>
  </si>
  <si>
    <t>Фактически</t>
  </si>
  <si>
    <t>сумма на 1 га, лей</t>
  </si>
  <si>
    <t>сумма на 1 квоту, лей</t>
  </si>
  <si>
    <t>на 1 квоту, кг</t>
  </si>
  <si>
    <t>на 1 квоту, лей</t>
  </si>
  <si>
    <t>SRL "Ghevlandri"</t>
  </si>
  <si>
    <t>горох</t>
  </si>
  <si>
    <t>SRL "NEZETLI UZUM"</t>
  </si>
  <si>
    <t>SRL "SEMENA"</t>
  </si>
  <si>
    <t>SRL "Bodoil Agro"</t>
  </si>
  <si>
    <t>SRL "Агро MEST"</t>
  </si>
  <si>
    <t>SRL" OGUZTEHTENTR"</t>
  </si>
  <si>
    <t xml:space="preserve"> SRL "Agro Posnic"</t>
  </si>
  <si>
    <t>I.M. "ERCADU-SEMINTE"</t>
  </si>
  <si>
    <t>SRL "АGRO BALANCU"SC</t>
  </si>
  <si>
    <t>GT "CHIOSEA LEONID"</t>
  </si>
  <si>
    <t>SRL "AGRO SARIGULI"</t>
  </si>
  <si>
    <t>SRL "WOAgrosem"</t>
  </si>
  <si>
    <t>GT CECHIR VITALI</t>
  </si>
  <si>
    <t>Вулканештский район</t>
  </si>
  <si>
    <t xml:space="preserve">сумма на 1 квоту, лей </t>
  </si>
  <si>
    <t>сорго</t>
  </si>
  <si>
    <t>Чадыр - Лунгский район</t>
  </si>
  <si>
    <t>SRL AGRO MODERN</t>
  </si>
  <si>
    <t xml:space="preserve">Комратский район </t>
  </si>
  <si>
    <t>бахча</t>
  </si>
  <si>
    <t>на 1га, кг</t>
  </si>
  <si>
    <t>на 1га, лей</t>
  </si>
  <si>
    <t>х</t>
  </si>
  <si>
    <t>АТО Гагаузия</t>
  </si>
  <si>
    <t>в денежном выражении</t>
  </si>
  <si>
    <t>SRL AGRO-SADIM</t>
  </si>
  <si>
    <t xml:space="preserve">SRL EKINNIK YERI </t>
  </si>
  <si>
    <t>GT TOMAILI I</t>
  </si>
  <si>
    <t>SRL ZAFER-AGRO</t>
  </si>
  <si>
    <t>SRL IVANCOLI</t>
  </si>
  <si>
    <t>SRL CAFADAR</t>
  </si>
  <si>
    <t>SRL AGROTVIM</t>
  </si>
  <si>
    <t>SRL ESTALIC AGRO</t>
  </si>
  <si>
    <t>CAP CAIIRIM</t>
  </si>
  <si>
    <t xml:space="preserve">GT POLITMERSCHII I </t>
  </si>
  <si>
    <t>CAP ENIIJA</t>
  </si>
  <si>
    <t>SRL TRESOR-COM</t>
  </si>
  <si>
    <t>SRL COTOVAGRO</t>
  </si>
  <si>
    <t>SRL "TAXAR-AGRO"</t>
  </si>
  <si>
    <t>SRL NIVCONT-AGRO</t>
  </si>
  <si>
    <t>SRL SIMLAR-AGRO</t>
  </si>
  <si>
    <t>SRL LPC-IMEX</t>
  </si>
  <si>
    <t xml:space="preserve">SRL  UNFECOM-AGRO </t>
  </si>
  <si>
    <t>SRL SAPSAMCUS</t>
  </si>
  <si>
    <t>GT ЛИДИЯ</t>
  </si>
  <si>
    <t>SRL PETIŞAGRO</t>
  </si>
  <si>
    <t>SRL Big Baghira   Чок-М</t>
  </si>
  <si>
    <t>SRL ARAMON VIN</t>
  </si>
  <si>
    <t>SRL "C.U.Service -Prim"</t>
  </si>
  <si>
    <t>SRL CARDAŞLÎC</t>
  </si>
  <si>
    <t>SRL INVINPROM</t>
  </si>
  <si>
    <t>GT BIRLIK</t>
  </si>
  <si>
    <t>SRL GERGEF-AGRO</t>
  </si>
  <si>
    <t>GT GERGEFLEA</t>
  </si>
  <si>
    <t>SRL MIGALEX-COM</t>
  </si>
  <si>
    <t>SRL DOBRUGA SALCIMI</t>
  </si>
  <si>
    <t>SRL MZ AGRO</t>
  </si>
  <si>
    <t>SRL MAIDAN GRUP</t>
  </si>
  <si>
    <t>SA CONGAZCIC</t>
  </si>
  <si>
    <t>SRL BASCALEAN-AGRO</t>
  </si>
  <si>
    <t>SRL MECAGRONOMIA-PLUS</t>
  </si>
  <si>
    <t>SRL AGROTEHGRUP</t>
  </si>
  <si>
    <t>SRL AGROSOLIDAX</t>
  </si>
  <si>
    <t>Ca &amp; Fa Service"</t>
  </si>
  <si>
    <t>COLHOZUL POBEDA</t>
  </si>
  <si>
    <t>SRL DAALAR DUZUU</t>
  </si>
  <si>
    <t>SA CENTRUL TEHNIC CEADIR-LUNGA</t>
  </si>
  <si>
    <t>SA CENTRUL TEHNIC TOMAI</t>
  </si>
  <si>
    <t>SRL APANTELIS</t>
  </si>
  <si>
    <t>SRL DUAN-TARLA</t>
  </si>
  <si>
    <t xml:space="preserve">SRL C.U.SERVICE PRIM </t>
  </si>
  <si>
    <t>SRL AKBAY- GRUP</t>
  </si>
  <si>
    <t>SRL NISAPEVA</t>
  </si>
  <si>
    <t>SRL HAZIR BEREKET</t>
  </si>
  <si>
    <t>SRL CUMNUC AGRO</t>
  </si>
  <si>
    <t>SRL AGROGRUP-CEKIR</t>
  </si>
  <si>
    <t>SRL MEDELEAN AGRO</t>
  </si>
  <si>
    <t>SLR NIKSA-AGRO</t>
  </si>
  <si>
    <t>SRL PODIS BOYU</t>
  </si>
  <si>
    <t>SRL IALCON GRUP</t>
  </si>
  <si>
    <t>SRL AGROGLED</t>
  </si>
  <si>
    <t>SRL KOVAG</t>
  </si>
  <si>
    <t>SRL Toprac-Agro</t>
  </si>
  <si>
    <t>SRL COL I</t>
  </si>
  <si>
    <t xml:space="preserve"> SRL AVITO - LUX</t>
  </si>
  <si>
    <t>SRL AYDAR - MERASI</t>
  </si>
  <si>
    <t>SRL CHENISLIC ceadir-lunga</t>
  </si>
  <si>
    <t>SRL MASSIV AGRO</t>
  </si>
  <si>
    <t>x</t>
  </si>
  <si>
    <t>SRL "АGRO BALONDJU"SC</t>
  </si>
  <si>
    <t>SRL  "CIOC MAIDAN VIN"</t>
  </si>
  <si>
    <t>GT VEBER IURII</t>
  </si>
  <si>
    <t>SRL CELEPEN-AGRO Chirsovo</t>
  </si>
  <si>
    <t>SRL AGRO-GUN</t>
  </si>
  <si>
    <t>SRL AGROPAMUC</t>
  </si>
  <si>
    <t>SRL TEHNOCOMPLEX</t>
  </si>
  <si>
    <t>SRL MASIVAGRO</t>
  </si>
  <si>
    <t>70     1100</t>
  </si>
  <si>
    <t xml:space="preserve">50       780 </t>
  </si>
  <si>
    <t>SRL MARKU KAD</t>
  </si>
  <si>
    <t>SRL DALTABAN</t>
  </si>
  <si>
    <t>SRL FERTISOL</t>
  </si>
  <si>
    <t>SRL ESTALIC-AGRO</t>
  </si>
  <si>
    <t>SRL KIRSĂU-AGRO</t>
  </si>
  <si>
    <t>SRL AGROMODERN</t>
  </si>
  <si>
    <t>SRL ABSOLUTGRAND</t>
  </si>
  <si>
    <t>SRL GAVRILIN TOPRAA</t>
  </si>
  <si>
    <t>SRL DIAMOND-GLASS</t>
  </si>
  <si>
    <t>SC UZVIG-COM SRL</t>
  </si>
  <si>
    <t>масло</t>
  </si>
  <si>
    <t>картоф</t>
  </si>
  <si>
    <t>SRL DOKSANCOM SC Томай</t>
  </si>
  <si>
    <t>SRL DOKSANCOM Буджак</t>
  </si>
  <si>
    <t>деньги</t>
  </si>
  <si>
    <t>SRL GOK KUȘAA</t>
  </si>
  <si>
    <t>SRL TRESOR-AGRO</t>
  </si>
  <si>
    <t>GȚ MITUL ZAHAR</t>
  </si>
  <si>
    <t>SRL BIYAZ SALKIM</t>
  </si>
  <si>
    <t>SC MAYILCOM SRL</t>
  </si>
  <si>
    <t xml:space="preserve">SRL BIYAZ SALKIM </t>
  </si>
  <si>
    <t>SRL IMPERIA SUD</t>
  </si>
  <si>
    <t xml:space="preserve">по ср. ценам </t>
  </si>
  <si>
    <t>о выданной  с/х продукции за аренду земли по агрохозяйствам Гагаузии в 2020 году.</t>
  </si>
  <si>
    <t>245    165</t>
  </si>
  <si>
    <t>люцер</t>
  </si>
  <si>
    <t xml:space="preserve">арбуз </t>
  </si>
  <si>
    <t>арбузы</t>
  </si>
  <si>
    <t xml:space="preserve">SRL CELEPEN-AGRO </t>
  </si>
  <si>
    <t xml:space="preserve">арбузы </t>
  </si>
  <si>
    <t>SRL SV&amp;PR AGRO</t>
  </si>
  <si>
    <t>слива</t>
  </si>
  <si>
    <t>SRL ARINSAS</t>
  </si>
  <si>
    <t>SRL CANTON-AGRO</t>
  </si>
  <si>
    <t>SRL BOTUS-AGRO</t>
  </si>
  <si>
    <t>SRL MIRTOPRAC-AGROCOM</t>
  </si>
  <si>
    <t>SRL ALEX&amp;INESS</t>
  </si>
  <si>
    <t>SRL GHERGHEF-TEН</t>
  </si>
  <si>
    <t>SRL PROBIZNESGRUP</t>
  </si>
  <si>
    <t>картофель</t>
  </si>
  <si>
    <t>горох        люцер</t>
  </si>
  <si>
    <t>SRL BESPARMAC</t>
  </si>
  <si>
    <t>SRL DEZGHIN AGRO</t>
  </si>
  <si>
    <t>S.A. AIDIN</t>
  </si>
  <si>
    <t xml:space="preserve">SRL DEZGHIN AGRO </t>
  </si>
  <si>
    <t>SRL MASIVAGRO НЕТ ДАННЫХ</t>
  </si>
  <si>
    <t>GȚ MITUL ZAHAR НЕТ ДАННЫХ</t>
  </si>
  <si>
    <t>SRL MZ AGRO НЕТ ДАННЫХ</t>
  </si>
  <si>
    <t>S.A. AIDIN НЕТ ДАННЫХ</t>
  </si>
  <si>
    <t xml:space="preserve">SRL LAK-AGRO </t>
  </si>
  <si>
    <t>SRL" Agro K.I.E.S."</t>
  </si>
  <si>
    <t>SRL" Iucas Agro Grup"</t>
  </si>
  <si>
    <t>SRL UCAK LUX</t>
  </si>
  <si>
    <t>SRL AGRO-D.M.G.</t>
  </si>
  <si>
    <t>GT DULOGLU TATIANA</t>
  </si>
  <si>
    <t>GT DULOGLU ANATOLII</t>
  </si>
  <si>
    <t>SRL CHENISLIC Beshgios</t>
  </si>
  <si>
    <t>10 сот</t>
  </si>
  <si>
    <t>SRL Micaneli</t>
  </si>
  <si>
    <t>10сот</t>
  </si>
  <si>
    <t>SRL Foare de Aur</t>
  </si>
  <si>
    <t>горох      ячмень</t>
  </si>
  <si>
    <t>50  70</t>
  </si>
  <si>
    <t>31     44</t>
  </si>
  <si>
    <t xml:space="preserve">200   210 </t>
  </si>
  <si>
    <t>SRL  UNFECOM-AGRO нет данных</t>
  </si>
  <si>
    <t>SRL Big Baghira   Чок-М нет данных</t>
  </si>
  <si>
    <t>GT GERGEFLEA нет данных</t>
  </si>
  <si>
    <t>SRL PETIŞAGRO еще не выдали</t>
  </si>
  <si>
    <t xml:space="preserve">SRL AGROTEHGRUP </t>
  </si>
  <si>
    <t>SRL CREBSAGRO нет данных</t>
  </si>
  <si>
    <t>SRL LAK-AGRO нет данных</t>
  </si>
  <si>
    <t>SRL ARINSAS нет данных</t>
  </si>
  <si>
    <t>SRL MIRTOPRAC-AGROCOM нте данных</t>
  </si>
  <si>
    <t>SRL GHERGHEF-TEН нет данных</t>
  </si>
  <si>
    <t>горох       сорго</t>
  </si>
  <si>
    <t>50     65</t>
  </si>
  <si>
    <t>175    195</t>
  </si>
  <si>
    <t>34      44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</si>
</sst>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 Cyr"/>
      <charset val="204"/>
    </font>
    <font>
      <b/>
      <sz val="8"/>
      <color indexed="8"/>
      <name val="Arial Cyr"/>
      <charset val="204"/>
    </font>
    <font>
      <sz val="9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Calibri"/>
      <family val="2"/>
      <charset val="204"/>
    </font>
    <font>
      <sz val="10"/>
      <color indexed="8"/>
      <name val="Arial Cyr"/>
      <charset val="204"/>
    </font>
    <font>
      <sz val="8"/>
      <color indexed="10"/>
      <name val="Arial Cyr"/>
      <charset val="204"/>
    </font>
    <font>
      <b/>
      <sz val="9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7">
    <xf numFmtId="0" fontId="0" fillId="0" borderId="0" xfId="0"/>
    <xf numFmtId="0" fontId="23" fillId="24" borderId="14" xfId="0" applyFont="1" applyFill="1" applyBorder="1" applyAlignment="1">
      <alignment horizontal="center"/>
    </xf>
    <xf numFmtId="0" fontId="22" fillId="24" borderId="14" xfId="0" applyFont="1" applyFill="1" applyBorder="1" applyAlignment="1">
      <alignment horizontal="center"/>
    </xf>
    <xf numFmtId="164" fontId="22" fillId="24" borderId="14" xfId="0" applyNumberFormat="1" applyFont="1" applyFill="1" applyBorder="1" applyAlignment="1">
      <alignment horizontal="center"/>
    </xf>
    <xf numFmtId="1" fontId="22" fillId="24" borderId="14" xfId="0" applyNumberFormat="1" applyFont="1" applyFill="1" applyBorder="1" applyAlignment="1">
      <alignment horizontal="center"/>
    </xf>
    <xf numFmtId="3" fontId="22" fillId="24" borderId="14" xfId="0" applyNumberFormat="1" applyFont="1" applyFill="1" applyBorder="1" applyAlignment="1">
      <alignment horizontal="center"/>
    </xf>
    <xf numFmtId="0" fontId="22" fillId="24" borderId="14" xfId="0" applyFont="1" applyFill="1" applyBorder="1" applyAlignment="1">
      <alignment horizontal="center" wrapText="1"/>
    </xf>
    <xf numFmtId="0" fontId="23" fillId="24" borderId="15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1" fontId="22" fillId="24" borderId="14" xfId="0" applyNumberFormat="1" applyFont="1" applyFill="1" applyBorder="1" applyAlignment="1">
      <alignment horizontal="center" wrapText="1"/>
    </xf>
    <xf numFmtId="0" fontId="22" fillId="24" borderId="14" xfId="36" applyFont="1" applyFill="1" applyBorder="1" applyAlignment="1">
      <alignment horizontal="center" wrapText="1"/>
    </xf>
    <xf numFmtId="0" fontId="22" fillId="24" borderId="14" xfId="36" applyFont="1" applyFill="1" applyBorder="1" applyAlignment="1">
      <alignment horizontal="center"/>
    </xf>
    <xf numFmtId="1" fontId="22" fillId="24" borderId="14" xfId="36" applyNumberFormat="1" applyFont="1" applyFill="1" applyBorder="1" applyAlignment="1">
      <alignment horizontal="center"/>
    </xf>
    <xf numFmtId="1" fontId="22" fillId="24" borderId="14" xfId="36" applyNumberFormat="1" applyFont="1" applyFill="1" applyBorder="1" applyAlignment="1">
      <alignment horizontal="center" wrapText="1"/>
    </xf>
    <xf numFmtId="0" fontId="24" fillId="0" borderId="14" xfId="36" applyFont="1" applyBorder="1"/>
    <xf numFmtId="0" fontId="25" fillId="24" borderId="14" xfId="36" applyFont="1" applyFill="1" applyBorder="1"/>
    <xf numFmtId="0" fontId="25" fillId="24" borderId="14" xfId="0" applyFont="1" applyFill="1" applyBorder="1"/>
    <xf numFmtId="0" fontId="25" fillId="24" borderId="14" xfId="0" applyFont="1" applyFill="1" applyBorder="1" applyAlignment="1"/>
    <xf numFmtId="0" fontId="24" fillId="24" borderId="14" xfId="0" applyFont="1" applyFill="1" applyBorder="1" applyAlignment="1">
      <alignment horizontal="right"/>
    </xf>
    <xf numFmtId="1" fontId="24" fillId="24" borderId="14" xfId="0" applyNumberFormat="1" applyFont="1" applyFill="1" applyBorder="1" applyAlignment="1">
      <alignment horizontal="right"/>
    </xf>
    <xf numFmtId="164" fontId="22" fillId="24" borderId="14" xfId="36" applyNumberFormat="1" applyFont="1" applyFill="1" applyBorder="1" applyAlignment="1">
      <alignment horizontal="center" wrapText="1"/>
    </xf>
    <xf numFmtId="0" fontId="25" fillId="24" borderId="14" xfId="0" applyFont="1" applyFill="1" applyBorder="1" applyAlignment="1">
      <alignment horizontal="left" wrapText="1"/>
    </xf>
    <xf numFmtId="0" fontId="25" fillId="24" borderId="14" xfId="0" applyFont="1" applyFill="1" applyBorder="1" applyAlignment="1">
      <alignment horizontal="left" vertical="center" wrapText="1"/>
    </xf>
    <xf numFmtId="0" fontId="25" fillId="24" borderId="12" xfId="0" applyFont="1" applyFill="1" applyBorder="1"/>
    <xf numFmtId="0" fontId="24" fillId="24" borderId="14" xfId="36" applyFont="1" applyFill="1" applyBorder="1"/>
    <xf numFmtId="0" fontId="24" fillId="24" borderId="14" xfId="0" applyFont="1" applyFill="1" applyBorder="1"/>
    <xf numFmtId="0" fontId="24" fillId="24" borderId="14" xfId="36" applyFont="1" applyFill="1" applyBorder="1" applyAlignment="1">
      <alignment wrapText="1"/>
    </xf>
    <xf numFmtId="164" fontId="23" fillId="25" borderId="14" xfId="0" applyNumberFormat="1" applyFont="1" applyFill="1" applyBorder="1" applyAlignment="1">
      <alignment horizontal="center"/>
    </xf>
    <xf numFmtId="1" fontId="23" fillId="25" borderId="14" xfId="0" applyNumberFormat="1" applyFont="1" applyFill="1" applyBorder="1" applyAlignment="1">
      <alignment horizontal="center"/>
    </xf>
    <xf numFmtId="0" fontId="25" fillId="24" borderId="14" xfId="0" applyFont="1" applyFill="1" applyBorder="1" applyAlignment="1">
      <alignment wrapText="1"/>
    </xf>
    <xf numFmtId="0" fontId="29" fillId="24" borderId="0" xfId="36" applyFont="1" applyFill="1" applyAlignment="1"/>
    <xf numFmtId="0" fontId="30" fillId="24" borderId="14" xfId="36" applyFont="1" applyFill="1" applyBorder="1" applyAlignment="1">
      <alignment horizontal="center" wrapText="1"/>
    </xf>
    <xf numFmtId="0" fontId="24" fillId="24" borderId="14" xfId="36" applyFont="1" applyFill="1" applyBorder="1" applyAlignment="1">
      <alignment horizontal="center"/>
    </xf>
    <xf numFmtId="0" fontId="30" fillId="24" borderId="13" xfId="36" applyFont="1" applyFill="1" applyBorder="1"/>
    <xf numFmtId="0" fontId="30" fillId="24" borderId="12" xfId="36" applyFont="1" applyFill="1" applyBorder="1" applyAlignment="1"/>
    <xf numFmtId="0" fontId="29" fillId="24" borderId="0" xfId="36" applyFont="1" applyFill="1"/>
    <xf numFmtId="0" fontId="29" fillId="24" borderId="10" xfId="36" applyFont="1" applyFill="1" applyBorder="1" applyAlignment="1"/>
    <xf numFmtId="0" fontId="26" fillId="24" borderId="0" xfId="0" applyFont="1" applyFill="1"/>
    <xf numFmtId="0" fontId="24" fillId="24" borderId="13" xfId="36" applyFont="1" applyFill="1" applyBorder="1" applyAlignment="1">
      <alignment horizontal="center"/>
    </xf>
    <xf numFmtId="0" fontId="25" fillId="24" borderId="14" xfId="36" applyFont="1" applyFill="1" applyBorder="1" applyAlignment="1"/>
    <xf numFmtId="0" fontId="25" fillId="24" borderId="14" xfId="0" applyFont="1" applyFill="1" applyBorder="1" applyAlignment="1">
      <alignment horizontal="left" vertical="center"/>
    </xf>
    <xf numFmtId="0" fontId="25" fillId="24" borderId="17" xfId="0" applyFont="1" applyFill="1" applyBorder="1" applyAlignment="1"/>
    <xf numFmtId="0" fontId="23" fillId="25" borderId="14" xfId="0" applyFont="1" applyFill="1" applyBorder="1" applyAlignment="1"/>
    <xf numFmtId="0" fontId="30" fillId="24" borderId="14" xfId="36" applyFont="1" applyFill="1" applyBorder="1" applyAlignment="1">
      <alignment horizontal="center"/>
    </xf>
    <xf numFmtId="3" fontId="22" fillId="24" borderId="14" xfId="36" applyNumberFormat="1" applyFont="1" applyFill="1" applyBorder="1" applyAlignment="1">
      <alignment horizontal="center" wrapText="1"/>
    </xf>
    <xf numFmtId="0" fontId="19" fillId="24" borderId="14" xfId="0" applyFont="1" applyFill="1" applyBorder="1" applyAlignment="1">
      <alignment horizontal="right"/>
    </xf>
    <xf numFmtId="164" fontId="19" fillId="24" borderId="14" xfId="0" applyNumberFormat="1" applyFont="1" applyFill="1" applyBorder="1" applyAlignment="1">
      <alignment horizontal="right"/>
    </xf>
    <xf numFmtId="1" fontId="19" fillId="24" borderId="14" xfId="0" applyNumberFormat="1" applyFont="1" applyFill="1" applyBorder="1" applyAlignment="1">
      <alignment horizontal="right"/>
    </xf>
    <xf numFmtId="0" fontId="19" fillId="24" borderId="14" xfId="0" applyFont="1" applyFill="1" applyBorder="1" applyAlignment="1">
      <alignment horizontal="right" wrapText="1"/>
    </xf>
    <xf numFmtId="0" fontId="34" fillId="24" borderId="0" xfId="0" applyFont="1" applyFill="1"/>
    <xf numFmtId="164" fontId="24" fillId="24" borderId="14" xfId="0" applyNumberFormat="1" applyFont="1" applyFill="1" applyBorder="1" applyAlignment="1">
      <alignment horizontal="right"/>
    </xf>
    <xf numFmtId="0" fontId="24" fillId="24" borderId="14" xfId="0" applyFont="1" applyFill="1" applyBorder="1" applyAlignment="1">
      <alignment horizontal="right" wrapText="1"/>
    </xf>
    <xf numFmtId="1" fontId="35" fillId="24" borderId="14" xfId="0" applyNumberFormat="1" applyFont="1" applyFill="1" applyBorder="1" applyAlignment="1">
      <alignment horizontal="right"/>
    </xf>
    <xf numFmtId="0" fontId="33" fillId="24" borderId="14" xfId="0" applyFont="1" applyFill="1" applyBorder="1" applyAlignment="1">
      <alignment horizontal="left" wrapText="1"/>
    </xf>
    <xf numFmtId="0" fontId="36" fillId="24" borderId="14" xfId="0" applyFont="1" applyFill="1" applyBorder="1" applyAlignment="1">
      <alignment horizontal="left" wrapText="1"/>
    </xf>
    <xf numFmtId="0" fontId="33" fillId="24" borderId="14" xfId="0" applyFont="1" applyFill="1" applyBorder="1" applyAlignment="1">
      <alignment horizontal="left" vertical="center" wrapText="1"/>
    </xf>
    <xf numFmtId="0" fontId="33" fillId="24" borderId="12" xfId="0" applyFont="1" applyFill="1" applyBorder="1"/>
    <xf numFmtId="0" fontId="33" fillId="24" borderId="14" xfId="0" applyFont="1" applyFill="1" applyBorder="1" applyAlignment="1">
      <alignment horizontal="left"/>
    </xf>
    <xf numFmtId="0" fontId="33" fillId="24" borderId="14" xfId="0" applyFont="1" applyFill="1" applyBorder="1"/>
    <xf numFmtId="0" fontId="20" fillId="24" borderId="14" xfId="0" applyFont="1" applyFill="1" applyBorder="1"/>
    <xf numFmtId="0" fontId="30" fillId="24" borderId="11" xfId="36" applyFont="1" applyFill="1" applyBorder="1" applyAlignment="1"/>
    <xf numFmtId="0" fontId="33" fillId="24" borderId="14" xfId="36" applyFont="1" applyFill="1" applyBorder="1" applyAlignment="1"/>
    <xf numFmtId="1" fontId="23" fillId="26" borderId="14" xfId="0" applyNumberFormat="1" applyFont="1" applyFill="1" applyBorder="1" applyAlignment="1">
      <alignment horizontal="center"/>
    </xf>
    <xf numFmtId="164" fontId="23" fillId="26" borderId="14" xfId="0" applyNumberFormat="1" applyFont="1" applyFill="1" applyBorder="1" applyAlignment="1">
      <alignment horizontal="center"/>
    </xf>
    <xf numFmtId="0" fontId="23" fillId="25" borderId="14" xfId="0" applyFont="1" applyFill="1" applyBorder="1" applyAlignment="1">
      <alignment horizontal="center"/>
    </xf>
    <xf numFmtId="0" fontId="33" fillId="24" borderId="14" xfId="0" applyFont="1" applyFill="1" applyBorder="1" applyAlignment="1"/>
    <xf numFmtId="0" fontId="33" fillId="24" borderId="14" xfId="36" applyFont="1" applyFill="1" applyBorder="1" applyAlignment="1">
      <alignment wrapText="1"/>
    </xf>
    <xf numFmtId="0" fontId="30" fillId="26" borderId="14" xfId="0" applyFont="1" applyFill="1" applyBorder="1"/>
    <xf numFmtId="0" fontId="23" fillId="26" borderId="14" xfId="36" applyFont="1" applyFill="1" applyBorder="1" applyAlignment="1"/>
    <xf numFmtId="0" fontId="23" fillId="26" borderId="14" xfId="0" applyNumberFormat="1" applyFont="1" applyFill="1" applyBorder="1" applyAlignment="1">
      <alignment horizontal="center"/>
    </xf>
    <xf numFmtId="3" fontId="23" fillId="26" borderId="14" xfId="0" applyNumberFormat="1" applyFont="1" applyFill="1" applyBorder="1" applyAlignment="1">
      <alignment horizontal="center"/>
    </xf>
    <xf numFmtId="1" fontId="31" fillId="26" borderId="14" xfId="0" applyNumberFormat="1" applyFont="1" applyFill="1" applyBorder="1" applyAlignment="1">
      <alignment horizontal="center"/>
    </xf>
    <xf numFmtId="0" fontId="21" fillId="24" borderId="14" xfId="0" applyFont="1" applyFill="1" applyBorder="1" applyAlignment="1">
      <alignment horizontal="left" wrapText="1"/>
    </xf>
    <xf numFmtId="1" fontId="22" fillId="27" borderId="14" xfId="0" applyNumberFormat="1" applyFont="1" applyFill="1" applyBorder="1" applyAlignment="1">
      <alignment horizontal="center"/>
    </xf>
    <xf numFmtId="0" fontId="24" fillId="27" borderId="14" xfId="36" applyFont="1" applyFill="1" applyBorder="1" applyAlignment="1">
      <alignment horizontal="center"/>
    </xf>
    <xf numFmtId="0" fontId="24" fillId="27" borderId="13" xfId="36" applyFont="1" applyFill="1" applyBorder="1" applyAlignment="1">
      <alignment horizontal="center"/>
    </xf>
    <xf numFmtId="3" fontId="22" fillId="27" borderId="14" xfId="0" applyNumberFormat="1" applyFont="1" applyFill="1" applyBorder="1" applyAlignment="1">
      <alignment horizontal="center"/>
    </xf>
    <xf numFmtId="0" fontId="22" fillId="27" borderId="14" xfId="36" applyFont="1" applyFill="1" applyBorder="1" applyAlignment="1">
      <alignment horizontal="center" wrapText="1"/>
    </xf>
    <xf numFmtId="0" fontId="22" fillId="27" borderId="14" xfId="0" applyFont="1" applyFill="1" applyBorder="1" applyAlignment="1">
      <alignment horizontal="center" wrapText="1"/>
    </xf>
    <xf numFmtId="1" fontId="22" fillId="27" borderId="14" xfId="0" applyNumberFormat="1" applyFont="1" applyFill="1" applyBorder="1" applyAlignment="1">
      <alignment horizontal="center" wrapText="1"/>
    </xf>
    <xf numFmtId="2" fontId="23" fillId="24" borderId="14" xfId="0" applyNumberFormat="1" applyFont="1" applyFill="1" applyBorder="1" applyAlignment="1">
      <alignment horizontal="center"/>
    </xf>
    <xf numFmtId="0" fontId="20" fillId="24" borderId="14" xfId="0" applyFont="1" applyFill="1" applyBorder="1" applyAlignment="1">
      <alignment horizontal="right"/>
    </xf>
    <xf numFmtId="0" fontId="30" fillId="24" borderId="14" xfId="0" applyFont="1" applyFill="1" applyBorder="1" applyAlignment="1">
      <alignment horizontal="right"/>
    </xf>
    <xf numFmtId="1" fontId="19" fillId="24" borderId="14" xfId="0" applyNumberFormat="1" applyFont="1" applyFill="1" applyBorder="1" applyAlignment="1">
      <alignment horizontal="center" wrapText="1"/>
    </xf>
    <xf numFmtId="1" fontId="24" fillId="24" borderId="14" xfId="0" applyNumberFormat="1" applyFont="1" applyFill="1" applyBorder="1" applyAlignment="1">
      <alignment horizontal="center" wrapText="1"/>
    </xf>
    <xf numFmtId="0" fontId="32" fillId="28" borderId="14" xfId="0" applyFont="1" applyFill="1" applyBorder="1"/>
    <xf numFmtId="0" fontId="31" fillId="28" borderId="14" xfId="0" applyFont="1" applyFill="1" applyBorder="1" applyAlignment="1"/>
    <xf numFmtId="3" fontId="23" fillId="28" borderId="14" xfId="0" applyNumberFormat="1" applyFont="1" applyFill="1" applyBorder="1" applyAlignment="1">
      <alignment horizontal="center"/>
    </xf>
    <xf numFmtId="2" fontId="31" fillId="28" borderId="14" xfId="0" applyNumberFormat="1" applyFont="1" applyFill="1" applyBorder="1" applyAlignment="1">
      <alignment horizontal="center"/>
    </xf>
    <xf numFmtId="1" fontId="31" fillId="28" borderId="14" xfId="0" applyNumberFormat="1" applyFont="1" applyFill="1" applyBorder="1" applyAlignment="1">
      <alignment horizontal="center"/>
    </xf>
    <xf numFmtId="0" fontId="31" fillId="28" borderId="14" xfId="0" applyFont="1" applyFill="1" applyBorder="1" applyAlignment="1">
      <alignment horizontal="center"/>
    </xf>
    <xf numFmtId="1" fontId="23" fillId="28" borderId="14" xfId="0" applyNumberFormat="1" applyFont="1" applyFill="1" applyBorder="1" applyAlignment="1">
      <alignment horizontal="center"/>
    </xf>
    <xf numFmtId="0" fontId="25" fillId="24" borderId="14" xfId="36" applyFont="1" applyFill="1" applyBorder="1" applyAlignment="1">
      <alignment horizontal="left" wrapText="1"/>
    </xf>
    <xf numFmtId="0" fontId="38" fillId="24" borderId="14" xfId="36" applyFont="1" applyFill="1" applyBorder="1" applyAlignment="1"/>
    <xf numFmtId="0" fontId="38" fillId="24" borderId="14" xfId="36" applyFont="1" applyFill="1" applyBorder="1" applyAlignment="1">
      <alignment horizontal="left" wrapText="1"/>
    </xf>
    <xf numFmtId="0" fontId="25" fillId="24" borderId="14" xfId="36" applyFont="1" applyFill="1" applyBorder="1" applyAlignment="1">
      <alignment wrapText="1"/>
    </xf>
    <xf numFmtId="0" fontId="30" fillId="24" borderId="13" xfId="36" applyFont="1" applyFill="1" applyBorder="1" applyAlignment="1">
      <alignment horizontal="center"/>
    </xf>
    <xf numFmtId="0" fontId="37" fillId="29" borderId="14" xfId="0" applyFont="1" applyFill="1" applyBorder="1" applyAlignment="1">
      <alignment horizontal="center"/>
    </xf>
    <xf numFmtId="0" fontId="23" fillId="29" borderId="14" xfId="0" applyFont="1" applyFill="1" applyBorder="1" applyAlignment="1"/>
    <xf numFmtId="164" fontId="23" fillId="29" borderId="14" xfId="0" applyNumberFormat="1" applyFont="1" applyFill="1" applyBorder="1" applyAlignment="1">
      <alignment horizontal="center"/>
    </xf>
    <xf numFmtId="0" fontId="23" fillId="29" borderId="14" xfId="0" applyNumberFormat="1" applyFont="1" applyFill="1" applyBorder="1" applyAlignment="1">
      <alignment horizontal="center"/>
    </xf>
    <xf numFmtId="1" fontId="23" fillId="29" borderId="14" xfId="0" applyNumberFormat="1" applyFont="1" applyFill="1" applyBorder="1" applyAlignment="1">
      <alignment horizontal="center"/>
    </xf>
    <xf numFmtId="0" fontId="23" fillId="29" borderId="14" xfId="0" applyFont="1" applyFill="1" applyBorder="1" applyAlignment="1">
      <alignment horizontal="center"/>
    </xf>
    <xf numFmtId="164" fontId="23" fillId="29" borderId="14" xfId="0" applyNumberFormat="1" applyFont="1" applyFill="1" applyBorder="1" applyAlignment="1"/>
    <xf numFmtId="3" fontId="23" fillId="29" borderId="14" xfId="0" applyNumberFormat="1" applyFont="1" applyFill="1" applyBorder="1" applyAlignment="1">
      <alignment horizontal="center"/>
    </xf>
    <xf numFmtId="1" fontId="31" fillId="29" borderId="14" xfId="0" applyNumberFormat="1" applyFont="1" applyFill="1" applyBorder="1" applyAlignment="1">
      <alignment horizontal="center"/>
    </xf>
    <xf numFmtId="0" fontId="30" fillId="24" borderId="15" xfId="36" applyFont="1" applyFill="1" applyBorder="1" applyAlignment="1">
      <alignment horizontal="center" textRotation="90" wrapText="1"/>
    </xf>
    <xf numFmtId="0" fontId="30" fillId="24" borderId="13" xfId="36" applyFont="1" applyFill="1" applyBorder="1" applyAlignment="1">
      <alignment horizontal="center" textRotation="90" wrapText="1"/>
    </xf>
    <xf numFmtId="0" fontId="30" fillId="24" borderId="11" xfId="36" applyFont="1" applyFill="1" applyBorder="1" applyAlignment="1">
      <alignment horizontal="center" wrapText="1"/>
    </xf>
    <xf numFmtId="0" fontId="30" fillId="24" borderId="12" xfId="36" applyFont="1" applyFill="1" applyBorder="1" applyAlignment="1">
      <alignment horizontal="center" wrapText="1"/>
    </xf>
    <xf numFmtId="0" fontId="30" fillId="24" borderId="15" xfId="36" applyFont="1" applyFill="1" applyBorder="1" applyAlignment="1">
      <alignment horizontal="center" wrapText="1"/>
    </xf>
    <xf numFmtId="0" fontId="30" fillId="24" borderId="13" xfId="36" applyFont="1" applyFill="1" applyBorder="1" applyAlignment="1">
      <alignment horizontal="center" wrapText="1"/>
    </xf>
    <xf numFmtId="0" fontId="29" fillId="24" borderId="10" xfId="36" applyFont="1" applyFill="1" applyBorder="1" applyAlignment="1">
      <alignment horizontal="center"/>
    </xf>
    <xf numFmtId="0" fontId="30" fillId="24" borderId="16" xfId="36" applyFont="1" applyFill="1" applyBorder="1" applyAlignment="1">
      <alignment horizontal="center" wrapText="1"/>
    </xf>
    <xf numFmtId="0" fontId="30" fillId="24" borderId="11" xfId="36" applyFont="1" applyFill="1" applyBorder="1" applyAlignment="1">
      <alignment horizontal="center"/>
    </xf>
    <xf numFmtId="0" fontId="29" fillId="24" borderId="16" xfId="36" applyFont="1" applyFill="1" applyBorder="1"/>
    <xf numFmtId="0" fontId="29" fillId="24" borderId="12" xfId="36" applyFont="1" applyFill="1" applyBorder="1"/>
    <xf numFmtId="0" fontId="30" fillId="24" borderId="17" xfId="36" applyFont="1" applyFill="1" applyBorder="1" applyAlignment="1">
      <alignment horizontal="center" wrapText="1"/>
    </xf>
    <xf numFmtId="0" fontId="30" fillId="24" borderId="15" xfId="36" applyFont="1" applyFill="1" applyBorder="1" applyAlignment="1">
      <alignment horizontal="center"/>
    </xf>
    <xf numFmtId="0" fontId="30" fillId="24" borderId="17" xfId="36" applyFont="1" applyFill="1" applyBorder="1" applyAlignment="1">
      <alignment horizontal="center"/>
    </xf>
    <xf numFmtId="0" fontId="30" fillId="24" borderId="13" xfId="36" applyFont="1" applyFill="1" applyBorder="1" applyAlignment="1">
      <alignment horizontal="center"/>
    </xf>
    <xf numFmtId="0" fontId="30" fillId="24" borderId="17" xfId="36" applyFont="1" applyFill="1" applyBorder="1" applyAlignment="1">
      <alignment horizontal="center" textRotation="90" wrapText="1"/>
    </xf>
    <xf numFmtId="0" fontId="29" fillId="24" borderId="15" xfId="36" applyFont="1" applyFill="1" applyBorder="1" applyAlignment="1">
      <alignment horizontal="center" wrapText="1"/>
    </xf>
    <xf numFmtId="0" fontId="29" fillId="24" borderId="17" xfId="36" applyFont="1" applyFill="1" applyBorder="1" applyAlignment="1">
      <alignment horizontal="center" wrapText="1"/>
    </xf>
    <xf numFmtId="0" fontId="29" fillId="24" borderId="13" xfId="36" applyFont="1" applyFill="1" applyBorder="1" applyAlignment="1">
      <alignment horizontal="center" wrapText="1"/>
    </xf>
    <xf numFmtId="2" fontId="30" fillId="24" borderId="15" xfId="36" applyNumberFormat="1" applyFont="1" applyFill="1" applyBorder="1" applyAlignment="1">
      <alignment horizontal="center" wrapText="1"/>
    </xf>
    <xf numFmtId="2" fontId="30" fillId="24" borderId="13" xfId="36" applyNumberFormat="1" applyFont="1" applyFill="1" applyBorder="1" applyAlignment="1">
      <alignment horizont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34"/>
  <sheetViews>
    <sheetView tabSelected="1" zoomScale="90" zoomScaleNormal="90" workbookViewId="0">
      <selection activeCell="B2" sqref="B2:X2"/>
    </sheetView>
  </sheetViews>
  <sheetFormatPr defaultRowHeight="15" x14ac:dyDescent="0.25"/>
  <cols>
    <col min="1" max="1" width="3.42578125" customWidth="1"/>
    <col min="2" max="2" width="17.85546875" customWidth="1"/>
    <col min="3" max="3" width="4.5703125" customWidth="1"/>
    <col min="4" max="4" width="4.7109375" customWidth="1"/>
    <col min="5" max="5" width="4.85546875" customWidth="1"/>
    <col min="6" max="6" width="5.42578125" customWidth="1"/>
    <col min="7" max="7" width="6" customWidth="1"/>
    <col min="8" max="8" width="4.42578125" customWidth="1"/>
    <col min="9" max="9" width="5.28515625" customWidth="1"/>
    <col min="10" max="10" width="4.140625" customWidth="1"/>
    <col min="11" max="11" width="5.5703125" customWidth="1"/>
    <col min="12" max="12" width="6" customWidth="1"/>
    <col min="13" max="13" width="4.42578125" customWidth="1"/>
    <col min="14" max="14" width="6.42578125" customWidth="1"/>
    <col min="15" max="15" width="4.140625" customWidth="1"/>
    <col min="16" max="16" width="6.140625" customWidth="1"/>
    <col min="17" max="18" width="5.42578125" customWidth="1"/>
    <col min="19" max="19" width="6" customWidth="1"/>
    <col min="20" max="20" width="4" customWidth="1"/>
    <col min="21" max="21" width="5.42578125" customWidth="1"/>
    <col min="22" max="22" width="5.5703125" customWidth="1"/>
    <col min="23" max="23" width="4.85546875" customWidth="1"/>
    <col min="24" max="24" width="5.5703125" customWidth="1"/>
    <col min="25" max="25" width="6.7109375" customWidth="1"/>
    <col min="26" max="28" width="5.42578125" customWidth="1"/>
    <col min="29" max="29" width="7.42578125" customWidth="1"/>
    <col min="30" max="31" width="5.7109375" customWidth="1"/>
    <col min="32" max="32" width="6.7109375" customWidth="1"/>
    <col min="33" max="33" width="5.85546875" customWidth="1"/>
    <col min="34" max="37" width="0" hidden="1" customWidth="1"/>
  </cols>
  <sheetData>
    <row r="1" spans="1:37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5"/>
      <c r="AG1" s="35"/>
      <c r="AH1" s="35"/>
      <c r="AI1" s="35"/>
      <c r="AJ1" s="37"/>
      <c r="AK1" s="37"/>
    </row>
    <row r="2" spans="1:37" x14ac:dyDescent="0.25">
      <c r="A2" s="36" t="s">
        <v>1</v>
      </c>
      <c r="B2" s="112" t="s">
        <v>146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7"/>
      <c r="AK2" s="37"/>
    </row>
    <row r="3" spans="1:37" ht="21" customHeight="1" x14ac:dyDescent="0.25">
      <c r="A3" s="110" t="s">
        <v>2</v>
      </c>
      <c r="B3" s="118" t="s">
        <v>3</v>
      </c>
      <c r="C3" s="106" t="s">
        <v>4</v>
      </c>
      <c r="D3" s="106" t="s">
        <v>5</v>
      </c>
      <c r="E3" s="114" t="s">
        <v>6</v>
      </c>
      <c r="F3" s="115"/>
      <c r="G3" s="115"/>
      <c r="H3" s="115"/>
      <c r="I3" s="116"/>
      <c r="J3" s="108" t="s">
        <v>7</v>
      </c>
      <c r="K3" s="113"/>
      <c r="L3" s="113"/>
      <c r="M3" s="113"/>
      <c r="N3" s="109"/>
      <c r="O3" s="108" t="s">
        <v>8</v>
      </c>
      <c r="P3" s="113"/>
      <c r="Q3" s="113"/>
      <c r="R3" s="113"/>
      <c r="S3" s="109"/>
      <c r="T3" s="108" t="s">
        <v>9</v>
      </c>
      <c r="U3" s="113"/>
      <c r="V3" s="113"/>
      <c r="W3" s="113"/>
      <c r="X3" s="109"/>
      <c r="Y3" s="108" t="s">
        <v>10</v>
      </c>
      <c r="Z3" s="113"/>
      <c r="AA3" s="113"/>
      <c r="AB3" s="109"/>
      <c r="AC3" s="108" t="s">
        <v>48</v>
      </c>
      <c r="AD3" s="113"/>
      <c r="AE3" s="109"/>
      <c r="AF3" s="108" t="s">
        <v>11</v>
      </c>
      <c r="AG3" s="109"/>
      <c r="AH3" s="108" t="s">
        <v>145</v>
      </c>
      <c r="AI3" s="109"/>
      <c r="AJ3" s="122" t="s">
        <v>2</v>
      </c>
      <c r="AK3" s="110" t="s">
        <v>3</v>
      </c>
    </row>
    <row r="4" spans="1:37" ht="15" customHeight="1" x14ac:dyDescent="0.25">
      <c r="A4" s="117"/>
      <c r="B4" s="119"/>
      <c r="C4" s="121"/>
      <c r="D4" s="121"/>
      <c r="E4" s="106" t="s">
        <v>12</v>
      </c>
      <c r="F4" s="110" t="s">
        <v>13</v>
      </c>
      <c r="G4" s="33" t="s">
        <v>14</v>
      </c>
      <c r="H4" s="60"/>
      <c r="I4" s="34"/>
      <c r="J4" s="106" t="s">
        <v>12</v>
      </c>
      <c r="K4" s="110" t="s">
        <v>13</v>
      </c>
      <c r="L4" s="108" t="s">
        <v>14</v>
      </c>
      <c r="M4" s="113"/>
      <c r="N4" s="109"/>
      <c r="O4" s="106" t="s">
        <v>12</v>
      </c>
      <c r="P4" s="110" t="s">
        <v>13</v>
      </c>
      <c r="Q4" s="108" t="s">
        <v>14</v>
      </c>
      <c r="R4" s="113"/>
      <c r="S4" s="109"/>
      <c r="T4" s="106" t="s">
        <v>12</v>
      </c>
      <c r="U4" s="110" t="s">
        <v>13</v>
      </c>
      <c r="V4" s="108" t="s">
        <v>15</v>
      </c>
      <c r="W4" s="113"/>
      <c r="X4" s="109"/>
      <c r="Y4" s="106" t="s">
        <v>16</v>
      </c>
      <c r="Z4" s="108" t="s">
        <v>14</v>
      </c>
      <c r="AA4" s="113"/>
      <c r="AB4" s="109"/>
      <c r="AC4" s="106" t="s">
        <v>17</v>
      </c>
      <c r="AD4" s="108" t="s">
        <v>18</v>
      </c>
      <c r="AE4" s="109"/>
      <c r="AF4" s="110" t="s">
        <v>38</v>
      </c>
      <c r="AG4" s="125" t="s">
        <v>19</v>
      </c>
      <c r="AH4" s="110" t="s">
        <v>20</v>
      </c>
      <c r="AI4" s="125" t="s">
        <v>19</v>
      </c>
      <c r="AJ4" s="123"/>
      <c r="AK4" s="117"/>
    </row>
    <row r="5" spans="1:37" ht="81.75" customHeight="1" x14ac:dyDescent="0.25">
      <c r="A5" s="111"/>
      <c r="B5" s="120"/>
      <c r="C5" s="107"/>
      <c r="D5" s="107"/>
      <c r="E5" s="107"/>
      <c r="F5" s="111"/>
      <c r="G5" s="31" t="s">
        <v>21</v>
      </c>
      <c r="H5" s="31" t="s">
        <v>44</v>
      </c>
      <c r="I5" s="31" t="s">
        <v>22</v>
      </c>
      <c r="J5" s="107"/>
      <c r="K5" s="111"/>
      <c r="L5" s="31" t="s">
        <v>21</v>
      </c>
      <c r="M5" s="31" t="s">
        <v>44</v>
      </c>
      <c r="N5" s="31" t="s">
        <v>22</v>
      </c>
      <c r="O5" s="107"/>
      <c r="P5" s="111"/>
      <c r="Q5" s="31" t="s">
        <v>21</v>
      </c>
      <c r="R5" s="31" t="s">
        <v>44</v>
      </c>
      <c r="S5" s="31" t="s">
        <v>22</v>
      </c>
      <c r="T5" s="107"/>
      <c r="U5" s="111"/>
      <c r="V5" s="31" t="s">
        <v>21</v>
      </c>
      <c r="W5" s="31" t="s">
        <v>44</v>
      </c>
      <c r="X5" s="31" t="s">
        <v>22</v>
      </c>
      <c r="Y5" s="107"/>
      <c r="Z5" s="31" t="s">
        <v>21</v>
      </c>
      <c r="AA5" s="31" t="s">
        <v>44</v>
      </c>
      <c r="AB5" s="31" t="s">
        <v>22</v>
      </c>
      <c r="AC5" s="107"/>
      <c r="AD5" s="31" t="s">
        <v>45</v>
      </c>
      <c r="AE5" s="31" t="s">
        <v>22</v>
      </c>
      <c r="AF5" s="111"/>
      <c r="AG5" s="126"/>
      <c r="AH5" s="111"/>
      <c r="AI5" s="126"/>
      <c r="AJ5" s="124"/>
      <c r="AK5" s="111"/>
    </row>
    <row r="6" spans="1:37" x14ac:dyDescent="0.25">
      <c r="A6" s="32">
        <v>1</v>
      </c>
      <c r="B6" s="38">
        <v>2</v>
      </c>
      <c r="C6" s="43">
        <v>3</v>
      </c>
      <c r="D6" s="96">
        <v>4</v>
      </c>
      <c r="E6" s="32">
        <v>5</v>
      </c>
      <c r="F6" s="96">
        <v>6</v>
      </c>
      <c r="G6" s="32">
        <v>7</v>
      </c>
      <c r="H6" s="75">
        <v>8</v>
      </c>
      <c r="I6" s="32">
        <v>9</v>
      </c>
      <c r="J6" s="38">
        <v>10</v>
      </c>
      <c r="K6" s="32">
        <v>11</v>
      </c>
      <c r="L6" s="38">
        <v>12</v>
      </c>
      <c r="M6" s="74">
        <v>13</v>
      </c>
      <c r="N6" s="38">
        <v>14</v>
      </c>
      <c r="O6" s="32">
        <v>15</v>
      </c>
      <c r="P6" s="96">
        <v>16</v>
      </c>
      <c r="Q6" s="32">
        <v>17</v>
      </c>
      <c r="R6" s="75">
        <v>18</v>
      </c>
      <c r="S6" s="32">
        <v>19</v>
      </c>
      <c r="T6" s="38">
        <v>20</v>
      </c>
      <c r="U6" s="43">
        <v>21</v>
      </c>
      <c r="V6" s="38">
        <v>22</v>
      </c>
      <c r="W6" s="74">
        <v>23</v>
      </c>
      <c r="X6" s="38">
        <v>24</v>
      </c>
      <c r="Y6" s="32">
        <v>25</v>
      </c>
      <c r="Z6" s="38">
        <v>26</v>
      </c>
      <c r="AA6" s="74">
        <v>27</v>
      </c>
      <c r="AB6" s="38">
        <v>28</v>
      </c>
      <c r="AC6" s="32">
        <v>29</v>
      </c>
      <c r="AD6" s="38">
        <v>30</v>
      </c>
      <c r="AE6" s="32">
        <v>31</v>
      </c>
      <c r="AF6" s="38">
        <v>32</v>
      </c>
      <c r="AG6" s="32">
        <v>33</v>
      </c>
      <c r="AH6" s="38">
        <v>34</v>
      </c>
      <c r="AI6" s="32">
        <v>35</v>
      </c>
      <c r="AJ6" s="38">
        <v>36</v>
      </c>
      <c r="AK6" s="32">
        <v>37</v>
      </c>
    </row>
    <row r="7" spans="1:37" x14ac:dyDescent="0.25">
      <c r="A7" s="24">
        <v>1</v>
      </c>
      <c r="B7" s="39" t="s">
        <v>49</v>
      </c>
      <c r="C7" s="1">
        <v>3</v>
      </c>
      <c r="D7" s="1">
        <v>300</v>
      </c>
      <c r="E7" s="2">
        <v>1000</v>
      </c>
      <c r="F7" s="3">
        <f>G7*D7/1000</f>
        <v>90</v>
      </c>
      <c r="G7" s="2">
        <v>300</v>
      </c>
      <c r="H7" s="73">
        <f>G7/C7</f>
        <v>100</v>
      </c>
      <c r="I7" s="2">
        <v>1200</v>
      </c>
      <c r="J7" s="2"/>
      <c r="K7" s="3">
        <f>L7*D7/1000</f>
        <v>15</v>
      </c>
      <c r="L7" s="2">
        <v>50</v>
      </c>
      <c r="M7" s="73">
        <f>L7/C7</f>
        <v>16.666666666666668</v>
      </c>
      <c r="N7" s="2">
        <v>200</v>
      </c>
      <c r="O7" s="2">
        <v>200</v>
      </c>
      <c r="P7" s="3">
        <f>Q7*D7/1000</f>
        <v>75</v>
      </c>
      <c r="Q7" s="2">
        <v>250</v>
      </c>
      <c r="R7" s="76">
        <f>Q7/C7</f>
        <v>83.333333333333329</v>
      </c>
      <c r="S7" s="2">
        <v>1000</v>
      </c>
      <c r="T7" s="2"/>
      <c r="U7" s="3">
        <f>V7*D7/1000</f>
        <v>30</v>
      </c>
      <c r="V7" s="2">
        <v>100</v>
      </c>
      <c r="W7" s="73">
        <f>V7/C7</f>
        <v>33.333333333333336</v>
      </c>
      <c r="X7" s="2">
        <v>600</v>
      </c>
      <c r="Y7" s="10"/>
      <c r="Z7" s="2"/>
      <c r="AA7" s="73">
        <f t="shared" ref="AA7:AA12" si="0">Z7/C7</f>
        <v>0</v>
      </c>
      <c r="AB7" s="10"/>
      <c r="AC7" s="10">
        <v>4800</v>
      </c>
      <c r="AD7" s="13">
        <f>AE7/C7</f>
        <v>0</v>
      </c>
      <c r="AE7" s="10"/>
      <c r="AF7" s="10">
        <f t="shared" ref="AF7:AF70" si="1">I7+N7+S7+X7+AB7+AE7</f>
        <v>3000</v>
      </c>
      <c r="AG7" s="12">
        <f>AF7/C7</f>
        <v>1000</v>
      </c>
      <c r="AH7" s="11">
        <f>G7*3.7+L7*3.7+Q7*4.2+V7*7.5+Z7+AE7</f>
        <v>3095</v>
      </c>
      <c r="AI7" s="12">
        <f>AH7/C7</f>
        <v>1031.6666666666667</v>
      </c>
      <c r="AJ7" s="24">
        <v>1</v>
      </c>
      <c r="AK7" s="15" t="s">
        <v>49</v>
      </c>
    </row>
    <row r="8" spans="1:37" x14ac:dyDescent="0.25">
      <c r="A8" s="24">
        <v>2</v>
      </c>
      <c r="B8" s="39" t="s">
        <v>50</v>
      </c>
      <c r="C8" s="1">
        <v>1.36</v>
      </c>
      <c r="D8" s="1">
        <v>694</v>
      </c>
      <c r="E8" s="2">
        <v>500</v>
      </c>
      <c r="F8" s="3">
        <f>G8*D8/1000</f>
        <v>208.2</v>
      </c>
      <c r="G8" s="2">
        <v>300</v>
      </c>
      <c r="H8" s="73">
        <f>G8/C8</f>
        <v>220.58823529411762</v>
      </c>
      <c r="I8" s="2">
        <v>750</v>
      </c>
      <c r="J8" s="2"/>
      <c r="K8" s="3">
        <f>L8*D8/1000</f>
        <v>0</v>
      </c>
      <c r="L8" s="2"/>
      <c r="M8" s="73">
        <f>L8/C8</f>
        <v>0</v>
      </c>
      <c r="N8" s="2"/>
      <c r="O8" s="2">
        <v>300</v>
      </c>
      <c r="P8" s="3">
        <f>Q8*D8/1000</f>
        <v>0</v>
      </c>
      <c r="Q8" s="2"/>
      <c r="R8" s="76">
        <f>Q8/C8</f>
        <v>0</v>
      </c>
      <c r="S8" s="2"/>
      <c r="T8" s="2">
        <v>100</v>
      </c>
      <c r="U8" s="3">
        <f>V8*D8/1000</f>
        <v>69.400000000000006</v>
      </c>
      <c r="V8" s="2">
        <v>100</v>
      </c>
      <c r="W8" s="73">
        <f>V8/C8</f>
        <v>73.529411764705884</v>
      </c>
      <c r="X8" s="2">
        <v>500</v>
      </c>
      <c r="Y8" s="10"/>
      <c r="Z8" s="2"/>
      <c r="AA8" s="73">
        <f t="shared" si="0"/>
        <v>0</v>
      </c>
      <c r="AB8" s="10"/>
      <c r="AC8" s="10">
        <v>2800</v>
      </c>
      <c r="AD8" s="13">
        <f>AE8/C8</f>
        <v>0</v>
      </c>
      <c r="AE8" s="10"/>
      <c r="AF8" s="10">
        <f t="shared" si="1"/>
        <v>1250</v>
      </c>
      <c r="AG8" s="12">
        <f>AF8/C8</f>
        <v>919.11764705882342</v>
      </c>
      <c r="AH8" s="11">
        <f>G8*3.7+L8*3.7+Q8*4.2+V8*7.5+Z8+AE8</f>
        <v>1860</v>
      </c>
      <c r="AI8" s="12">
        <f>AH8/C8</f>
        <v>1367.6470588235293</v>
      </c>
      <c r="AJ8" s="24">
        <v>2</v>
      </c>
      <c r="AK8" s="15" t="s">
        <v>50</v>
      </c>
    </row>
    <row r="9" spans="1:37" x14ac:dyDescent="0.25">
      <c r="A9" s="24">
        <v>3</v>
      </c>
      <c r="B9" s="39" t="s">
        <v>83</v>
      </c>
      <c r="C9" s="1">
        <v>3</v>
      </c>
      <c r="D9" s="1">
        <v>356</v>
      </c>
      <c r="E9" s="2">
        <v>500</v>
      </c>
      <c r="F9" s="3">
        <f>G9*D9/1000</f>
        <v>71.2</v>
      </c>
      <c r="G9" s="2">
        <v>200</v>
      </c>
      <c r="H9" s="73">
        <f t="shared" ref="H9:H51" si="2">G9/C9</f>
        <v>66.666666666666671</v>
      </c>
      <c r="I9" s="2">
        <v>800</v>
      </c>
      <c r="J9" s="2"/>
      <c r="K9" s="3">
        <f t="shared" ref="K9:K72" si="3">L9*D9/1000</f>
        <v>35.6</v>
      </c>
      <c r="L9" s="2">
        <v>100</v>
      </c>
      <c r="M9" s="73">
        <f t="shared" ref="M9:M72" si="4">L9/C9</f>
        <v>33.333333333333336</v>
      </c>
      <c r="N9" s="2">
        <v>350</v>
      </c>
      <c r="O9" s="2">
        <v>1000</v>
      </c>
      <c r="P9" s="3">
        <f t="shared" ref="P9:P72" si="5">Q9*D9/1000</f>
        <v>71.2</v>
      </c>
      <c r="Q9" s="2">
        <v>200</v>
      </c>
      <c r="R9" s="76">
        <f t="shared" ref="R9:R72" si="6">Q9/C9</f>
        <v>66.666666666666671</v>
      </c>
      <c r="S9" s="2">
        <v>900</v>
      </c>
      <c r="T9" s="2">
        <v>100</v>
      </c>
      <c r="U9" s="3">
        <f t="shared" ref="U9:U50" si="7">V9*D9/1000</f>
        <v>35.6</v>
      </c>
      <c r="V9" s="2">
        <v>100</v>
      </c>
      <c r="W9" s="73">
        <f t="shared" ref="W9:W87" si="8">V9/C9</f>
        <v>33.333333333333336</v>
      </c>
      <c r="X9" s="2">
        <v>650</v>
      </c>
      <c r="Y9" s="11" t="s">
        <v>162</v>
      </c>
      <c r="Z9" s="2">
        <v>100</v>
      </c>
      <c r="AA9" s="73">
        <f t="shared" si="0"/>
        <v>33.333333333333336</v>
      </c>
      <c r="AB9" s="10">
        <v>300</v>
      </c>
      <c r="AC9" s="10">
        <v>4250</v>
      </c>
      <c r="AD9" s="13">
        <f>AE9/C9</f>
        <v>0</v>
      </c>
      <c r="AE9" s="10"/>
      <c r="AF9" s="10">
        <f t="shared" si="1"/>
        <v>3000</v>
      </c>
      <c r="AG9" s="12">
        <f t="shared" ref="AG9:AG49" si="9">AF9/C9</f>
        <v>1000</v>
      </c>
      <c r="AH9" s="11">
        <f>G9*3.7+L9*3.7+Q9*4.2+V9*7.5+Z9*4+AE9</f>
        <v>3100</v>
      </c>
      <c r="AI9" s="12">
        <f t="shared" ref="AI9:AI76" si="10">AH9/C9</f>
        <v>1033.3333333333333</v>
      </c>
      <c r="AJ9" s="24">
        <v>2</v>
      </c>
      <c r="AK9" s="39" t="s">
        <v>83</v>
      </c>
    </row>
    <row r="10" spans="1:37" ht="23.25" customHeight="1" x14ac:dyDescent="0.25">
      <c r="A10" s="24">
        <v>4</v>
      </c>
      <c r="B10" s="66" t="s">
        <v>193</v>
      </c>
      <c r="C10" s="1">
        <v>0.29499999999999998</v>
      </c>
      <c r="D10" s="1">
        <v>100</v>
      </c>
      <c r="E10" s="2"/>
      <c r="F10" s="3">
        <f t="shared" ref="F10:F61" si="11">G10*D10/1000</f>
        <v>0</v>
      </c>
      <c r="G10" s="2"/>
      <c r="H10" s="73">
        <f t="shared" si="2"/>
        <v>0</v>
      </c>
      <c r="I10" s="2"/>
      <c r="J10" s="2"/>
      <c r="K10" s="3">
        <f t="shared" si="3"/>
        <v>0</v>
      </c>
      <c r="L10" s="2"/>
      <c r="M10" s="73">
        <f t="shared" si="4"/>
        <v>0</v>
      </c>
      <c r="N10" s="2"/>
      <c r="O10" s="2"/>
      <c r="P10" s="3">
        <f t="shared" si="5"/>
        <v>0</v>
      </c>
      <c r="Q10" s="2"/>
      <c r="R10" s="76">
        <f t="shared" si="6"/>
        <v>0</v>
      </c>
      <c r="S10" s="2"/>
      <c r="T10" s="2"/>
      <c r="U10" s="3">
        <f t="shared" si="7"/>
        <v>0</v>
      </c>
      <c r="V10" s="2"/>
      <c r="W10" s="73">
        <f t="shared" si="8"/>
        <v>0</v>
      </c>
      <c r="X10" s="2"/>
      <c r="Y10" s="10"/>
      <c r="Z10" s="2"/>
      <c r="AA10" s="73">
        <f t="shared" si="0"/>
        <v>0</v>
      </c>
      <c r="AB10" s="10"/>
      <c r="AC10" s="10">
        <v>300</v>
      </c>
      <c r="AD10" s="13"/>
      <c r="AE10" s="10"/>
      <c r="AF10" s="10">
        <f t="shared" si="1"/>
        <v>0</v>
      </c>
      <c r="AG10" s="12">
        <f>AF10/C10</f>
        <v>0</v>
      </c>
      <c r="AH10" s="11">
        <f>G10*3.7+L10*3.7+Q10*4.2+V10*7.5+AE10</f>
        <v>0</v>
      </c>
      <c r="AI10" s="12">
        <f t="shared" si="10"/>
        <v>0</v>
      </c>
      <c r="AJ10" s="24">
        <v>3</v>
      </c>
      <c r="AK10" s="15" t="s">
        <v>51</v>
      </c>
    </row>
    <row r="11" spans="1:37" x14ac:dyDescent="0.25">
      <c r="A11" s="24">
        <v>5</v>
      </c>
      <c r="B11" s="39" t="s">
        <v>52</v>
      </c>
      <c r="C11" s="1">
        <v>1.367</v>
      </c>
      <c r="D11" s="1">
        <v>389</v>
      </c>
      <c r="E11" s="2">
        <v>500</v>
      </c>
      <c r="F11" s="3">
        <f t="shared" si="11"/>
        <v>77.8</v>
      </c>
      <c r="G11" s="2">
        <v>200</v>
      </c>
      <c r="H11" s="73">
        <f t="shared" si="2"/>
        <v>146.30577907827359</v>
      </c>
      <c r="I11" s="2">
        <v>600</v>
      </c>
      <c r="J11" s="2"/>
      <c r="K11" s="3">
        <f t="shared" si="3"/>
        <v>0</v>
      </c>
      <c r="L11" s="2"/>
      <c r="M11" s="73">
        <f t="shared" si="4"/>
        <v>0</v>
      </c>
      <c r="N11" s="2"/>
      <c r="O11" s="2">
        <v>300</v>
      </c>
      <c r="P11" s="3">
        <f t="shared" si="5"/>
        <v>0</v>
      </c>
      <c r="Q11" s="2"/>
      <c r="R11" s="76">
        <f t="shared" si="6"/>
        <v>0</v>
      </c>
      <c r="S11" s="2"/>
      <c r="T11" s="2">
        <v>100</v>
      </c>
      <c r="U11" s="3">
        <f t="shared" si="7"/>
        <v>38.9</v>
      </c>
      <c r="V11" s="2">
        <v>100</v>
      </c>
      <c r="W11" s="73">
        <f t="shared" si="8"/>
        <v>73.152889539136794</v>
      </c>
      <c r="X11" s="2">
        <v>500</v>
      </c>
      <c r="Y11" s="10"/>
      <c r="Z11" s="2"/>
      <c r="AA11" s="73">
        <f t="shared" si="0"/>
        <v>0</v>
      </c>
      <c r="AB11" s="10"/>
      <c r="AC11" s="10">
        <v>2000</v>
      </c>
      <c r="AD11" s="13">
        <f>AE11/C11</f>
        <v>0</v>
      </c>
      <c r="AE11" s="10"/>
      <c r="AF11" s="10">
        <f t="shared" si="1"/>
        <v>1100</v>
      </c>
      <c r="AG11" s="12">
        <f t="shared" si="9"/>
        <v>804.6817849305047</v>
      </c>
      <c r="AH11" s="11">
        <f>G11*3.7+L11*3.7+Q11*4.2+V11*7.5+AE11</f>
        <v>1490</v>
      </c>
      <c r="AI11" s="12">
        <f t="shared" si="10"/>
        <v>1089.9780541331384</v>
      </c>
      <c r="AJ11" s="24">
        <v>5</v>
      </c>
      <c r="AK11" s="15" t="s">
        <v>52</v>
      </c>
    </row>
    <row r="12" spans="1:37" x14ac:dyDescent="0.25">
      <c r="A12" s="24">
        <v>6</v>
      </c>
      <c r="B12" s="39" t="s">
        <v>53</v>
      </c>
      <c r="C12" s="1">
        <v>1.367</v>
      </c>
      <c r="D12" s="1">
        <v>298</v>
      </c>
      <c r="E12" s="2">
        <v>500</v>
      </c>
      <c r="F12" s="3">
        <f t="shared" si="11"/>
        <v>44.7</v>
      </c>
      <c r="G12" s="2">
        <v>150</v>
      </c>
      <c r="H12" s="73">
        <f t="shared" si="2"/>
        <v>109.72933430870519</v>
      </c>
      <c r="I12" s="2">
        <v>450</v>
      </c>
      <c r="J12" s="2"/>
      <c r="K12" s="3">
        <f t="shared" si="3"/>
        <v>14.9</v>
      </c>
      <c r="L12" s="2">
        <v>50</v>
      </c>
      <c r="M12" s="73">
        <f t="shared" si="4"/>
        <v>36.576444769568397</v>
      </c>
      <c r="N12" s="2">
        <v>150</v>
      </c>
      <c r="O12" s="2">
        <v>300</v>
      </c>
      <c r="P12" s="3">
        <f t="shared" si="5"/>
        <v>0</v>
      </c>
      <c r="Q12" s="2"/>
      <c r="R12" s="76">
        <f t="shared" si="6"/>
        <v>0</v>
      </c>
      <c r="S12" s="2"/>
      <c r="T12" s="2">
        <v>100</v>
      </c>
      <c r="U12" s="3">
        <f t="shared" si="7"/>
        <v>14.9</v>
      </c>
      <c r="V12" s="2">
        <v>50</v>
      </c>
      <c r="W12" s="73">
        <f t="shared" si="8"/>
        <v>36.576444769568397</v>
      </c>
      <c r="X12" s="2">
        <v>225</v>
      </c>
      <c r="Y12" s="10"/>
      <c r="Z12" s="2"/>
      <c r="AA12" s="73">
        <f t="shared" si="0"/>
        <v>0</v>
      </c>
      <c r="AB12" s="10"/>
      <c r="AC12" s="10">
        <v>2000</v>
      </c>
      <c r="AD12" s="13">
        <f t="shared" ref="AD12:AD31" si="12">AE12/C12</f>
        <v>0</v>
      </c>
      <c r="AE12" s="10"/>
      <c r="AF12" s="10">
        <f t="shared" si="1"/>
        <v>825</v>
      </c>
      <c r="AG12" s="12">
        <f t="shared" si="9"/>
        <v>603.51133869787861</v>
      </c>
      <c r="AH12" s="11">
        <f>G12*3.7+L12*3.7+Q12*4.2+V12*7.5+AE12</f>
        <v>1115</v>
      </c>
      <c r="AI12" s="12">
        <f t="shared" si="10"/>
        <v>815.65471836137533</v>
      </c>
      <c r="AJ12" s="24">
        <v>6</v>
      </c>
      <c r="AK12" s="15" t="s">
        <v>53</v>
      </c>
    </row>
    <row r="13" spans="1:37" x14ac:dyDescent="0.25">
      <c r="A13" s="24">
        <v>7</v>
      </c>
      <c r="B13" s="39" t="s">
        <v>54</v>
      </c>
      <c r="C13" s="1">
        <v>1.53</v>
      </c>
      <c r="D13" s="1">
        <v>870</v>
      </c>
      <c r="E13" s="2">
        <v>400</v>
      </c>
      <c r="F13" s="3">
        <f t="shared" si="11"/>
        <v>348</v>
      </c>
      <c r="G13" s="2">
        <v>400</v>
      </c>
      <c r="H13" s="73">
        <f>G13/C13</f>
        <v>261.43790849673201</v>
      </c>
      <c r="I13" s="2">
        <v>1000</v>
      </c>
      <c r="J13" s="2"/>
      <c r="K13" s="3"/>
      <c r="L13" s="2"/>
      <c r="M13" s="73">
        <f t="shared" si="4"/>
        <v>0</v>
      </c>
      <c r="N13" s="2"/>
      <c r="O13" s="2">
        <v>300</v>
      </c>
      <c r="P13" s="3">
        <f>Q13*D13/1000</f>
        <v>130.5</v>
      </c>
      <c r="Q13" s="2">
        <v>150</v>
      </c>
      <c r="R13" s="76">
        <f>Q13/C13</f>
        <v>98.039215686274503</v>
      </c>
      <c r="S13" s="2">
        <v>450</v>
      </c>
      <c r="T13" s="2">
        <v>120</v>
      </c>
      <c r="U13" s="3">
        <f t="shared" si="7"/>
        <v>87</v>
      </c>
      <c r="V13" s="2">
        <v>100</v>
      </c>
      <c r="W13" s="73">
        <f t="shared" si="8"/>
        <v>65.359477124183002</v>
      </c>
      <c r="X13" s="2">
        <v>400</v>
      </c>
      <c r="Y13" s="10"/>
      <c r="Z13" s="10"/>
      <c r="AA13" s="77"/>
      <c r="AB13" s="10"/>
      <c r="AC13" s="10">
        <v>1655</v>
      </c>
      <c r="AD13" s="13">
        <f t="shared" si="12"/>
        <v>0</v>
      </c>
      <c r="AE13" s="10"/>
      <c r="AF13" s="10">
        <f t="shared" si="1"/>
        <v>1850</v>
      </c>
      <c r="AG13" s="12">
        <f>AF13/C13</f>
        <v>1209.1503267973856</v>
      </c>
      <c r="AH13" s="11">
        <f>G13*3.7+L13*3.7+Q13*4.2+V13*7.5+AE13</f>
        <v>2860</v>
      </c>
      <c r="AI13" s="12">
        <f>AH13/C13</f>
        <v>1869.2810457516339</v>
      </c>
      <c r="AJ13" s="24">
        <v>7</v>
      </c>
      <c r="AK13" s="15" t="s">
        <v>54</v>
      </c>
    </row>
    <row r="14" spans="1:37" x14ac:dyDescent="0.25">
      <c r="A14" s="24">
        <v>8</v>
      </c>
      <c r="B14" s="39" t="s">
        <v>128</v>
      </c>
      <c r="C14" s="1">
        <v>1.36</v>
      </c>
      <c r="D14" s="1">
        <v>231</v>
      </c>
      <c r="E14" s="2">
        <v>500</v>
      </c>
      <c r="F14" s="3">
        <f t="shared" si="11"/>
        <v>46.2</v>
      </c>
      <c r="G14" s="2">
        <v>200</v>
      </c>
      <c r="H14" s="73">
        <f t="shared" si="2"/>
        <v>147.05882352941177</v>
      </c>
      <c r="I14" s="2">
        <v>500</v>
      </c>
      <c r="J14" s="2"/>
      <c r="K14" s="3">
        <f t="shared" si="3"/>
        <v>0</v>
      </c>
      <c r="L14" s="2"/>
      <c r="M14" s="73">
        <f t="shared" si="4"/>
        <v>0</v>
      </c>
      <c r="N14" s="2"/>
      <c r="O14" s="2">
        <v>250</v>
      </c>
      <c r="P14" s="3">
        <f t="shared" si="5"/>
        <v>0</v>
      </c>
      <c r="Q14" s="2"/>
      <c r="R14" s="76">
        <f t="shared" si="6"/>
        <v>0</v>
      </c>
      <c r="S14" s="2"/>
      <c r="T14" s="2">
        <v>100</v>
      </c>
      <c r="U14" s="3">
        <f t="shared" si="7"/>
        <v>11.55</v>
      </c>
      <c r="V14" s="2">
        <v>50</v>
      </c>
      <c r="W14" s="73">
        <f t="shared" si="8"/>
        <v>36.764705882352942</v>
      </c>
      <c r="X14" s="2">
        <v>250</v>
      </c>
      <c r="Y14" s="10" t="s">
        <v>24</v>
      </c>
      <c r="Z14" s="2">
        <v>50</v>
      </c>
      <c r="AA14" s="73">
        <f>Z14/C14</f>
        <v>36.764705882352942</v>
      </c>
      <c r="AB14" s="10"/>
      <c r="AC14" s="10">
        <v>2460</v>
      </c>
      <c r="AD14" s="13">
        <f t="shared" si="12"/>
        <v>0</v>
      </c>
      <c r="AE14" s="10"/>
      <c r="AF14" s="10">
        <f t="shared" si="1"/>
        <v>750</v>
      </c>
      <c r="AG14" s="12">
        <f t="shared" si="9"/>
        <v>551.47058823529403</v>
      </c>
      <c r="AH14" s="11">
        <f>G14*3.7+L14*3.7+Q14*4.2+V14*7.5+Z14*5+AE14</f>
        <v>1365</v>
      </c>
      <c r="AI14" s="12">
        <f t="shared" si="10"/>
        <v>1003.6764705882352</v>
      </c>
      <c r="AJ14" s="24">
        <v>8</v>
      </c>
      <c r="AK14" s="15" t="s">
        <v>41</v>
      </c>
    </row>
    <row r="15" spans="1:37" x14ac:dyDescent="0.25">
      <c r="A15" s="24">
        <v>9</v>
      </c>
      <c r="B15" s="39" t="s">
        <v>55</v>
      </c>
      <c r="C15" s="1">
        <v>1.77</v>
      </c>
      <c r="D15" s="1">
        <v>69.7</v>
      </c>
      <c r="E15" s="2">
        <v>500</v>
      </c>
      <c r="F15" s="3">
        <f t="shared" si="11"/>
        <v>13.94</v>
      </c>
      <c r="G15" s="2">
        <v>200</v>
      </c>
      <c r="H15" s="73">
        <f t="shared" si="2"/>
        <v>112.99435028248587</v>
      </c>
      <c r="I15" s="2">
        <v>500</v>
      </c>
      <c r="J15" s="2"/>
      <c r="K15" s="3">
        <f t="shared" si="3"/>
        <v>0</v>
      </c>
      <c r="L15" s="2"/>
      <c r="M15" s="73">
        <f t="shared" si="4"/>
        <v>0</v>
      </c>
      <c r="N15" s="2"/>
      <c r="O15" s="2">
        <v>250</v>
      </c>
      <c r="P15" s="3">
        <f t="shared" si="5"/>
        <v>0</v>
      </c>
      <c r="Q15" s="2"/>
      <c r="R15" s="76">
        <f t="shared" si="6"/>
        <v>0</v>
      </c>
      <c r="S15" s="2"/>
      <c r="T15" s="2">
        <v>100</v>
      </c>
      <c r="U15" s="3">
        <f t="shared" si="7"/>
        <v>3.4849999999999999</v>
      </c>
      <c r="V15" s="2">
        <v>50</v>
      </c>
      <c r="W15" s="73">
        <f t="shared" si="8"/>
        <v>28.248587570621467</v>
      </c>
      <c r="X15" s="2">
        <v>250</v>
      </c>
      <c r="Y15" s="10"/>
      <c r="Z15" s="2"/>
      <c r="AA15" s="73">
        <f>Z15/C15</f>
        <v>0</v>
      </c>
      <c r="AB15" s="10"/>
      <c r="AC15" s="10">
        <v>2460</v>
      </c>
      <c r="AD15" s="13">
        <f t="shared" si="12"/>
        <v>0</v>
      </c>
      <c r="AE15" s="10"/>
      <c r="AF15" s="10">
        <f t="shared" si="1"/>
        <v>750</v>
      </c>
      <c r="AG15" s="12">
        <f t="shared" si="9"/>
        <v>423.72881355932202</v>
      </c>
      <c r="AH15" s="11">
        <f>G15*3.7+L15*3.7+Q15*4.2+V15*7.5+AE15</f>
        <v>1115</v>
      </c>
      <c r="AI15" s="12">
        <f t="shared" si="10"/>
        <v>629.9435028248588</v>
      </c>
      <c r="AJ15" s="24">
        <v>9</v>
      </c>
      <c r="AK15" s="15" t="s">
        <v>55</v>
      </c>
    </row>
    <row r="16" spans="1:37" x14ac:dyDescent="0.25">
      <c r="A16" s="24">
        <v>10</v>
      </c>
      <c r="B16" s="93" t="s">
        <v>126</v>
      </c>
      <c r="C16" s="1">
        <v>1.53</v>
      </c>
      <c r="D16" s="1">
        <v>451</v>
      </c>
      <c r="E16" s="2">
        <v>400</v>
      </c>
      <c r="F16" s="3">
        <f t="shared" si="11"/>
        <v>180.4</v>
      </c>
      <c r="G16" s="2">
        <v>400</v>
      </c>
      <c r="H16" s="73">
        <f t="shared" si="2"/>
        <v>261.43790849673201</v>
      </c>
      <c r="I16" s="2">
        <v>800</v>
      </c>
      <c r="J16" s="2"/>
      <c r="K16" s="3">
        <f t="shared" si="3"/>
        <v>0</v>
      </c>
      <c r="L16" s="2"/>
      <c r="M16" s="73">
        <f t="shared" si="4"/>
        <v>0</v>
      </c>
      <c r="N16" s="2"/>
      <c r="O16" s="2">
        <v>300</v>
      </c>
      <c r="P16" s="3">
        <f t="shared" si="5"/>
        <v>0</v>
      </c>
      <c r="Q16" s="2"/>
      <c r="R16" s="76">
        <f t="shared" si="6"/>
        <v>0</v>
      </c>
      <c r="S16" s="2"/>
      <c r="T16" s="2">
        <v>100</v>
      </c>
      <c r="U16" s="3">
        <f t="shared" si="7"/>
        <v>45.1</v>
      </c>
      <c r="V16" s="2">
        <v>100</v>
      </c>
      <c r="W16" s="73">
        <f t="shared" si="8"/>
        <v>65.359477124183002</v>
      </c>
      <c r="X16" s="2">
        <v>350</v>
      </c>
      <c r="Y16" s="10" t="s">
        <v>149</v>
      </c>
      <c r="Z16" s="6">
        <v>20</v>
      </c>
      <c r="AA16" s="73">
        <f t="shared" ref="AA16:AA75" si="13">Z16/C16</f>
        <v>13.071895424836601</v>
      </c>
      <c r="AB16" s="10">
        <v>24</v>
      </c>
      <c r="AC16" s="10">
        <v>1672</v>
      </c>
      <c r="AD16" s="13">
        <f t="shared" si="12"/>
        <v>0</v>
      </c>
      <c r="AE16" s="10"/>
      <c r="AF16" s="10">
        <f t="shared" si="1"/>
        <v>1174</v>
      </c>
      <c r="AG16" s="12">
        <f t="shared" si="9"/>
        <v>767.32026143790847</v>
      </c>
      <c r="AH16" s="11">
        <f>G16*3.7+L16*3.7+Q16*4.2+V16*7.5+Z16*1.5+AE16</f>
        <v>2260</v>
      </c>
      <c r="AI16" s="12">
        <f t="shared" si="10"/>
        <v>1477.124183006536</v>
      </c>
      <c r="AJ16" s="24">
        <v>11</v>
      </c>
      <c r="AK16" s="24" t="s">
        <v>56</v>
      </c>
    </row>
    <row r="17" spans="1:37" x14ac:dyDescent="0.25">
      <c r="A17" s="24">
        <v>11</v>
      </c>
      <c r="B17" s="39" t="s">
        <v>57</v>
      </c>
      <c r="C17" s="1">
        <v>1.53</v>
      </c>
      <c r="D17" s="1">
        <v>694</v>
      </c>
      <c r="E17" s="2">
        <v>400</v>
      </c>
      <c r="F17" s="3">
        <f t="shared" si="11"/>
        <v>277.60000000000002</v>
      </c>
      <c r="G17" s="2">
        <v>400</v>
      </c>
      <c r="H17" s="73">
        <f t="shared" si="2"/>
        <v>261.43790849673201</v>
      </c>
      <c r="I17" s="2">
        <v>800</v>
      </c>
      <c r="J17" s="2"/>
      <c r="K17" s="3">
        <f t="shared" si="3"/>
        <v>104.1</v>
      </c>
      <c r="L17" s="2">
        <v>150</v>
      </c>
      <c r="M17" s="73">
        <f t="shared" si="4"/>
        <v>98.039215686274503</v>
      </c>
      <c r="N17" s="2">
        <v>300</v>
      </c>
      <c r="O17" s="2">
        <v>300</v>
      </c>
      <c r="P17" s="3">
        <f t="shared" si="5"/>
        <v>0</v>
      </c>
      <c r="Q17" s="2"/>
      <c r="R17" s="76">
        <f t="shared" si="6"/>
        <v>0</v>
      </c>
      <c r="S17" s="2"/>
      <c r="T17" s="5">
        <v>100</v>
      </c>
      <c r="U17" s="3">
        <f t="shared" si="7"/>
        <v>69.400000000000006</v>
      </c>
      <c r="V17" s="2">
        <v>100</v>
      </c>
      <c r="W17" s="73">
        <f t="shared" si="8"/>
        <v>65.359477124183002</v>
      </c>
      <c r="X17" s="2">
        <v>300</v>
      </c>
      <c r="Y17" s="10" t="s">
        <v>150</v>
      </c>
      <c r="Z17" s="10">
        <v>30</v>
      </c>
      <c r="AA17" s="73">
        <f t="shared" si="13"/>
        <v>19.607843137254903</v>
      </c>
      <c r="AB17" s="10">
        <v>36</v>
      </c>
      <c r="AC17" s="10">
        <v>1772</v>
      </c>
      <c r="AD17" s="13">
        <f t="shared" si="12"/>
        <v>0</v>
      </c>
      <c r="AE17" s="10"/>
      <c r="AF17" s="10">
        <f t="shared" si="1"/>
        <v>1436</v>
      </c>
      <c r="AG17" s="12">
        <f>AF17/C17</f>
        <v>938.56209150326799</v>
      </c>
      <c r="AH17" s="11">
        <f>G17*3.7+L17*3.7+Q17*4.2+V17*7.5+Z17*1.5+AE17</f>
        <v>2830</v>
      </c>
      <c r="AI17" s="12">
        <f t="shared" si="10"/>
        <v>1849.6732026143791</v>
      </c>
      <c r="AJ17" s="24">
        <v>12</v>
      </c>
      <c r="AK17" s="15" t="s">
        <v>57</v>
      </c>
    </row>
    <row r="18" spans="1:37" x14ac:dyDescent="0.25">
      <c r="A18" s="24">
        <v>12</v>
      </c>
      <c r="B18" s="93" t="s">
        <v>58</v>
      </c>
      <c r="C18" s="1">
        <v>1.36</v>
      </c>
      <c r="D18" s="1">
        <v>47</v>
      </c>
      <c r="E18" s="2">
        <v>200</v>
      </c>
      <c r="F18" s="3">
        <f t="shared" si="11"/>
        <v>9.4</v>
      </c>
      <c r="G18" s="2">
        <v>200</v>
      </c>
      <c r="H18" s="73">
        <f t="shared" si="2"/>
        <v>147.05882352941177</v>
      </c>
      <c r="I18" s="2">
        <v>500</v>
      </c>
      <c r="J18" s="2"/>
      <c r="K18" s="3">
        <f t="shared" si="3"/>
        <v>0</v>
      </c>
      <c r="L18" s="2"/>
      <c r="M18" s="73">
        <f t="shared" si="4"/>
        <v>0</v>
      </c>
      <c r="N18" s="2"/>
      <c r="O18" s="2"/>
      <c r="P18" s="3">
        <f t="shared" si="5"/>
        <v>0</v>
      </c>
      <c r="Q18" s="2"/>
      <c r="R18" s="76">
        <f t="shared" si="6"/>
        <v>0</v>
      </c>
      <c r="S18" s="2"/>
      <c r="T18" s="2">
        <v>50</v>
      </c>
      <c r="U18" s="3">
        <f t="shared" si="7"/>
        <v>2.35</v>
      </c>
      <c r="V18" s="2">
        <v>50</v>
      </c>
      <c r="W18" s="73">
        <f t="shared" si="8"/>
        <v>36.764705882352942</v>
      </c>
      <c r="X18" s="2">
        <v>250</v>
      </c>
      <c r="Y18" s="10"/>
      <c r="Z18" s="2"/>
      <c r="AA18" s="73">
        <f t="shared" si="13"/>
        <v>0</v>
      </c>
      <c r="AB18" s="10"/>
      <c r="AC18" s="10">
        <v>750</v>
      </c>
      <c r="AD18" s="13">
        <f t="shared" si="12"/>
        <v>0</v>
      </c>
      <c r="AE18" s="10"/>
      <c r="AF18" s="10">
        <f t="shared" si="1"/>
        <v>750</v>
      </c>
      <c r="AG18" s="12">
        <f t="shared" si="9"/>
        <v>551.47058823529403</v>
      </c>
      <c r="AH18" s="11">
        <f>G18*3.7+L18*3.7+Q18*4.2+V18*7.5+AE18</f>
        <v>1115</v>
      </c>
      <c r="AI18" s="12">
        <f t="shared" si="10"/>
        <v>819.85294117647049</v>
      </c>
      <c r="AJ18" s="24">
        <v>13</v>
      </c>
      <c r="AK18" s="24" t="s">
        <v>58</v>
      </c>
    </row>
    <row r="19" spans="1:37" x14ac:dyDescent="0.25">
      <c r="A19" s="24">
        <v>13</v>
      </c>
      <c r="B19" s="39" t="s">
        <v>59</v>
      </c>
      <c r="C19" s="1">
        <v>1.53</v>
      </c>
      <c r="D19" s="1">
        <v>958</v>
      </c>
      <c r="E19" s="2">
        <v>400</v>
      </c>
      <c r="F19" s="3">
        <f t="shared" si="11"/>
        <v>383.2</v>
      </c>
      <c r="G19" s="2">
        <v>400</v>
      </c>
      <c r="H19" s="73">
        <f t="shared" si="2"/>
        <v>261.43790849673201</v>
      </c>
      <c r="I19" s="2">
        <v>600</v>
      </c>
      <c r="J19" s="2"/>
      <c r="K19" s="3">
        <f t="shared" si="3"/>
        <v>0</v>
      </c>
      <c r="L19" s="2"/>
      <c r="M19" s="73">
        <f t="shared" si="4"/>
        <v>0</v>
      </c>
      <c r="N19" s="2"/>
      <c r="O19" s="2">
        <v>150</v>
      </c>
      <c r="P19" s="3">
        <f t="shared" si="5"/>
        <v>143.69999999999999</v>
      </c>
      <c r="Q19" s="2">
        <v>150</v>
      </c>
      <c r="R19" s="76">
        <f t="shared" si="6"/>
        <v>98.039215686274503</v>
      </c>
      <c r="S19" s="2">
        <v>375</v>
      </c>
      <c r="T19" s="2">
        <v>150</v>
      </c>
      <c r="U19" s="3">
        <f t="shared" si="7"/>
        <v>143.69999999999999</v>
      </c>
      <c r="V19" s="2">
        <v>150</v>
      </c>
      <c r="W19" s="73">
        <f>V19/C19</f>
        <v>98.039215686274503</v>
      </c>
      <c r="X19" s="2">
        <v>300</v>
      </c>
      <c r="Y19" s="10" t="s">
        <v>152</v>
      </c>
      <c r="Z19" s="10">
        <v>25</v>
      </c>
      <c r="AA19" s="73">
        <f t="shared" si="13"/>
        <v>16.33986928104575</v>
      </c>
      <c r="AB19" s="10">
        <v>25</v>
      </c>
      <c r="AC19" s="10">
        <v>1300</v>
      </c>
      <c r="AD19" s="13">
        <f t="shared" si="12"/>
        <v>0</v>
      </c>
      <c r="AE19" s="10"/>
      <c r="AF19" s="10">
        <f t="shared" si="1"/>
        <v>1300</v>
      </c>
      <c r="AG19" s="12">
        <f t="shared" si="9"/>
        <v>849.67320261437908</v>
      </c>
      <c r="AH19" s="11">
        <f>G19*3.7+L19*3.7+Q19*4.2+V19*7.5+Z19*1.5+AE19</f>
        <v>3272.5</v>
      </c>
      <c r="AI19" s="12">
        <f t="shared" si="10"/>
        <v>2138.8888888888887</v>
      </c>
      <c r="AJ19" s="24">
        <v>14</v>
      </c>
      <c r="AK19" s="15" t="s">
        <v>59</v>
      </c>
    </row>
    <row r="20" spans="1:37" x14ac:dyDescent="0.25">
      <c r="A20" s="24">
        <v>14</v>
      </c>
      <c r="B20" s="39" t="s">
        <v>60</v>
      </c>
      <c r="C20" s="1">
        <v>1.53</v>
      </c>
      <c r="D20" s="1">
        <v>715</v>
      </c>
      <c r="E20" s="2">
        <v>600</v>
      </c>
      <c r="F20" s="3">
        <f t="shared" si="11"/>
        <v>429</v>
      </c>
      <c r="G20" s="2">
        <v>600</v>
      </c>
      <c r="H20" s="73">
        <f t="shared" si="2"/>
        <v>392.15686274509801</v>
      </c>
      <c r="I20" s="2">
        <v>1680</v>
      </c>
      <c r="J20" s="2"/>
      <c r="K20" s="3">
        <f t="shared" si="3"/>
        <v>143</v>
      </c>
      <c r="L20" s="2">
        <v>200</v>
      </c>
      <c r="M20" s="73">
        <f t="shared" si="4"/>
        <v>130.718954248366</v>
      </c>
      <c r="N20" s="2">
        <v>560</v>
      </c>
      <c r="O20" s="2">
        <v>400</v>
      </c>
      <c r="P20" s="3">
        <f t="shared" si="5"/>
        <v>0</v>
      </c>
      <c r="Q20" s="2"/>
      <c r="R20" s="76">
        <f t="shared" si="6"/>
        <v>0</v>
      </c>
      <c r="S20" s="2"/>
      <c r="T20" s="2">
        <v>150</v>
      </c>
      <c r="U20" s="3">
        <f t="shared" si="7"/>
        <v>71.5</v>
      </c>
      <c r="V20" s="2">
        <v>100</v>
      </c>
      <c r="W20" s="73">
        <f>V20/C20</f>
        <v>65.359477124183002</v>
      </c>
      <c r="X20" s="2">
        <v>670</v>
      </c>
      <c r="Y20" s="10"/>
      <c r="Z20" s="2"/>
      <c r="AA20" s="73">
        <f t="shared" si="13"/>
        <v>0</v>
      </c>
      <c r="AB20" s="10"/>
      <c r="AC20" s="10">
        <v>3885</v>
      </c>
      <c r="AD20" s="13">
        <f t="shared" si="12"/>
        <v>0</v>
      </c>
      <c r="AE20" s="10"/>
      <c r="AF20" s="10">
        <f t="shared" si="1"/>
        <v>2910</v>
      </c>
      <c r="AG20" s="12">
        <f t="shared" si="9"/>
        <v>1901.9607843137255</v>
      </c>
      <c r="AH20" s="11">
        <f>G20*3.7+L20*3.7+Q20*4.2+V20*7.5+AE20</f>
        <v>3710</v>
      </c>
      <c r="AI20" s="12">
        <f t="shared" si="10"/>
        <v>2424.8366013071895</v>
      </c>
      <c r="AJ20" s="24">
        <v>15</v>
      </c>
      <c r="AK20" s="15" t="s">
        <v>60</v>
      </c>
    </row>
    <row r="21" spans="1:37" x14ac:dyDescent="0.25">
      <c r="A21" s="24">
        <v>15</v>
      </c>
      <c r="B21" s="39" t="s">
        <v>139</v>
      </c>
      <c r="C21" s="1">
        <v>1.4</v>
      </c>
      <c r="D21" s="1">
        <v>146</v>
      </c>
      <c r="E21" s="2">
        <v>670</v>
      </c>
      <c r="F21" s="3">
        <f t="shared" si="11"/>
        <v>97.82</v>
      </c>
      <c r="G21" s="2">
        <v>670</v>
      </c>
      <c r="H21" s="73">
        <f t="shared" si="2"/>
        <v>478.57142857142861</v>
      </c>
      <c r="I21" s="2">
        <v>1474</v>
      </c>
      <c r="J21" s="2"/>
      <c r="K21" s="3">
        <f t="shared" si="3"/>
        <v>0</v>
      </c>
      <c r="L21" s="2"/>
      <c r="M21" s="73">
        <f t="shared" si="4"/>
        <v>0</v>
      </c>
      <c r="N21" s="2"/>
      <c r="O21" s="2"/>
      <c r="P21" s="3">
        <f t="shared" si="5"/>
        <v>0</v>
      </c>
      <c r="Q21" s="2"/>
      <c r="R21" s="76">
        <f t="shared" si="6"/>
        <v>0</v>
      </c>
      <c r="S21" s="2"/>
      <c r="T21" s="2">
        <v>100</v>
      </c>
      <c r="U21" s="3">
        <f t="shared" si="7"/>
        <v>14.6</v>
      </c>
      <c r="V21" s="2">
        <v>100</v>
      </c>
      <c r="W21" s="73">
        <f>V21/C21</f>
        <v>71.428571428571431</v>
      </c>
      <c r="X21" s="2">
        <v>600</v>
      </c>
      <c r="Y21" s="10" t="s">
        <v>148</v>
      </c>
      <c r="Z21" s="2">
        <v>300</v>
      </c>
      <c r="AA21" s="73">
        <f t="shared" si="13"/>
        <v>214.28571428571431</v>
      </c>
      <c r="AB21" s="10">
        <v>300</v>
      </c>
      <c r="AC21" s="10">
        <v>2374</v>
      </c>
      <c r="AD21" s="13">
        <f t="shared" si="12"/>
        <v>0</v>
      </c>
      <c r="AE21" s="10"/>
      <c r="AF21" s="10">
        <f t="shared" si="1"/>
        <v>2374</v>
      </c>
      <c r="AG21" s="12">
        <f t="shared" si="9"/>
        <v>1695.7142857142858</v>
      </c>
      <c r="AH21" s="11">
        <f>G21*3.7+L21*3.7+Q21*4.2+V21*7.5+Z21*1+AE21</f>
        <v>3529</v>
      </c>
      <c r="AI21" s="12">
        <f t="shared" si="10"/>
        <v>2520.7142857142858</v>
      </c>
      <c r="AJ21" s="24"/>
      <c r="AK21" s="15" t="s">
        <v>139</v>
      </c>
    </row>
    <row r="22" spans="1:37" x14ac:dyDescent="0.25">
      <c r="A22" s="24">
        <v>16</v>
      </c>
      <c r="B22" s="39" t="s">
        <v>61</v>
      </c>
      <c r="C22" s="1">
        <v>1.7</v>
      </c>
      <c r="D22" s="1">
        <v>377</v>
      </c>
      <c r="E22" s="2">
        <v>700</v>
      </c>
      <c r="F22" s="3">
        <f>G22*D22/1000</f>
        <v>255.04050000000001</v>
      </c>
      <c r="G22" s="2">
        <v>676.5</v>
      </c>
      <c r="H22" s="73">
        <f t="shared" si="2"/>
        <v>397.94117647058823</v>
      </c>
      <c r="I22" s="2">
        <v>1200</v>
      </c>
      <c r="J22" s="2"/>
      <c r="K22" s="3">
        <f t="shared" si="3"/>
        <v>0</v>
      </c>
      <c r="L22" s="2"/>
      <c r="M22" s="73">
        <f t="shared" si="4"/>
        <v>0</v>
      </c>
      <c r="N22" s="2"/>
      <c r="O22" s="2">
        <v>300</v>
      </c>
      <c r="P22" s="3">
        <f t="shared" si="5"/>
        <v>94.25</v>
      </c>
      <c r="Q22" s="2">
        <v>250</v>
      </c>
      <c r="R22" s="76">
        <f t="shared" si="6"/>
        <v>147.05882352941177</v>
      </c>
      <c r="S22" s="2">
        <v>500</v>
      </c>
      <c r="T22" s="2">
        <v>150</v>
      </c>
      <c r="U22" s="3">
        <f t="shared" si="7"/>
        <v>37.700000000000003</v>
      </c>
      <c r="V22" s="2">
        <v>100</v>
      </c>
      <c r="W22" s="73">
        <f t="shared" si="8"/>
        <v>58.82352941176471</v>
      </c>
      <c r="X22" s="2">
        <v>300</v>
      </c>
      <c r="Y22" s="10" t="s">
        <v>43</v>
      </c>
      <c r="Z22" s="10">
        <v>50</v>
      </c>
      <c r="AA22" s="73">
        <f t="shared" si="13"/>
        <v>29.411764705882355</v>
      </c>
      <c r="AB22" s="10">
        <v>60</v>
      </c>
      <c r="AC22" s="10">
        <v>2510</v>
      </c>
      <c r="AD22" s="13">
        <f t="shared" si="12"/>
        <v>0</v>
      </c>
      <c r="AE22" s="10"/>
      <c r="AF22" s="10">
        <f t="shared" si="1"/>
        <v>2060</v>
      </c>
      <c r="AG22" s="12">
        <f>AF22/C22</f>
        <v>1211.7647058823529</v>
      </c>
      <c r="AH22" s="11">
        <f>G22*3.7+L22*3.7+Q22*4.2+V22*7.5+Z22*1.5+AE22</f>
        <v>4378.05</v>
      </c>
      <c r="AI22" s="12">
        <f t="shared" si="10"/>
        <v>2575.3235294117649</v>
      </c>
      <c r="AJ22" s="24">
        <v>16</v>
      </c>
      <c r="AK22" s="15" t="s">
        <v>61</v>
      </c>
    </row>
    <row r="23" spans="1:37" x14ac:dyDescent="0.25">
      <c r="A23" s="24">
        <v>17</v>
      </c>
      <c r="B23" s="39" t="s">
        <v>62</v>
      </c>
      <c r="C23" s="1">
        <v>2.7614999999999998</v>
      </c>
      <c r="D23" s="1">
        <v>12</v>
      </c>
      <c r="E23" s="2"/>
      <c r="F23" s="3">
        <f t="shared" si="11"/>
        <v>0</v>
      </c>
      <c r="G23" s="2"/>
      <c r="H23" s="73">
        <f t="shared" si="2"/>
        <v>0</v>
      </c>
      <c r="I23" s="2"/>
      <c r="J23" s="2"/>
      <c r="K23" s="3">
        <f t="shared" si="3"/>
        <v>0</v>
      </c>
      <c r="L23" s="2"/>
      <c r="M23" s="73">
        <f t="shared" si="4"/>
        <v>0</v>
      </c>
      <c r="N23" s="2"/>
      <c r="O23" s="2"/>
      <c r="P23" s="3">
        <f t="shared" si="5"/>
        <v>0</v>
      </c>
      <c r="Q23" s="2"/>
      <c r="R23" s="76">
        <f t="shared" si="6"/>
        <v>0</v>
      </c>
      <c r="S23" s="2"/>
      <c r="T23" s="2"/>
      <c r="U23" s="3">
        <f t="shared" si="7"/>
        <v>0</v>
      </c>
      <c r="V23" s="2"/>
      <c r="W23" s="73">
        <f t="shared" si="8"/>
        <v>0</v>
      </c>
      <c r="X23" s="2"/>
      <c r="Y23" s="10"/>
      <c r="Z23" s="2"/>
      <c r="AA23" s="73">
        <f t="shared" si="13"/>
        <v>0</v>
      </c>
      <c r="AB23" s="10"/>
      <c r="AC23" s="10">
        <v>2500</v>
      </c>
      <c r="AD23" s="13">
        <f t="shared" si="12"/>
        <v>905.30508781459355</v>
      </c>
      <c r="AE23" s="10">
        <v>2500</v>
      </c>
      <c r="AF23" s="10">
        <f t="shared" si="1"/>
        <v>2500</v>
      </c>
      <c r="AG23" s="12">
        <f t="shared" si="9"/>
        <v>905.30508781459355</v>
      </c>
      <c r="AH23" s="11">
        <f>G23*3.7+L23*3.7+Q23*4.2+V23*7.5+Z23+AE23</f>
        <v>2500</v>
      </c>
      <c r="AI23" s="12">
        <f t="shared" si="10"/>
        <v>905.30508781459355</v>
      </c>
      <c r="AJ23" s="24">
        <v>17</v>
      </c>
      <c r="AK23" s="15" t="s">
        <v>62</v>
      </c>
    </row>
    <row r="24" spans="1:37" x14ac:dyDescent="0.25">
      <c r="A24" s="24">
        <v>18</v>
      </c>
      <c r="B24" s="39" t="s">
        <v>63</v>
      </c>
      <c r="C24" s="1">
        <v>1.53</v>
      </c>
      <c r="D24" s="1">
        <v>960</v>
      </c>
      <c r="E24" s="2">
        <v>700</v>
      </c>
      <c r="F24" s="3">
        <f t="shared" si="11"/>
        <v>384</v>
      </c>
      <c r="G24" s="2">
        <v>400</v>
      </c>
      <c r="H24" s="73">
        <f t="shared" si="2"/>
        <v>261.43790849673201</v>
      </c>
      <c r="I24" s="2">
        <v>1000</v>
      </c>
      <c r="J24" s="2"/>
      <c r="K24" s="3">
        <f t="shared" si="3"/>
        <v>0</v>
      </c>
      <c r="L24" s="2"/>
      <c r="M24" s="73">
        <f t="shared" si="4"/>
        <v>0</v>
      </c>
      <c r="N24" s="2"/>
      <c r="O24" s="2">
        <v>400</v>
      </c>
      <c r="P24" s="3">
        <f t="shared" si="5"/>
        <v>0</v>
      </c>
      <c r="Q24" s="2"/>
      <c r="R24" s="76">
        <f t="shared" si="6"/>
        <v>0</v>
      </c>
      <c r="S24" s="2"/>
      <c r="T24" s="2">
        <v>150</v>
      </c>
      <c r="U24" s="3">
        <f>V24*D24/1000</f>
        <v>96</v>
      </c>
      <c r="V24" s="2">
        <v>100</v>
      </c>
      <c r="W24" s="73">
        <f>V24/C24</f>
        <v>65.359477124183002</v>
      </c>
      <c r="X24" s="2">
        <v>400</v>
      </c>
      <c r="Y24" s="10"/>
      <c r="Z24" s="2"/>
      <c r="AA24" s="73">
        <f t="shared" si="13"/>
        <v>0</v>
      </c>
      <c r="AB24" s="10"/>
      <c r="AC24" s="10"/>
      <c r="AD24" s="13">
        <f t="shared" si="12"/>
        <v>0</v>
      </c>
      <c r="AE24" s="10"/>
      <c r="AF24" s="10">
        <f>I24+N24+S24+X24+AB24+AE24</f>
        <v>1400</v>
      </c>
      <c r="AG24" s="12">
        <f t="shared" si="9"/>
        <v>915.03267973856202</v>
      </c>
      <c r="AH24" s="11">
        <f>G24*3.7+L24*3.7+Q24*4.2+V24*7.5+Z24+AE24</f>
        <v>2230</v>
      </c>
      <c r="AI24" s="12">
        <f t="shared" si="10"/>
        <v>1457.516339869281</v>
      </c>
      <c r="AJ24" s="24">
        <v>18</v>
      </c>
      <c r="AK24" s="15" t="s">
        <v>63</v>
      </c>
    </row>
    <row r="25" spans="1:37" x14ac:dyDescent="0.25">
      <c r="A25" s="24">
        <v>19</v>
      </c>
      <c r="B25" s="39" t="s">
        <v>151</v>
      </c>
      <c r="C25" s="1">
        <v>1.2</v>
      </c>
      <c r="D25" s="1">
        <v>1937.1</v>
      </c>
      <c r="E25" s="2"/>
      <c r="F25" s="3">
        <f t="shared" si="11"/>
        <v>774.84</v>
      </c>
      <c r="G25" s="2">
        <v>400</v>
      </c>
      <c r="H25" s="73">
        <f t="shared" si="2"/>
        <v>333.33333333333337</v>
      </c>
      <c r="I25" s="2">
        <v>1200</v>
      </c>
      <c r="J25" s="2"/>
      <c r="K25" s="3">
        <f t="shared" si="3"/>
        <v>193.71</v>
      </c>
      <c r="L25" s="2">
        <v>100</v>
      </c>
      <c r="M25" s="73">
        <f t="shared" si="4"/>
        <v>83.333333333333343</v>
      </c>
      <c r="N25" s="2">
        <v>280</v>
      </c>
      <c r="O25" s="2"/>
      <c r="P25" s="3">
        <f t="shared" si="5"/>
        <v>0</v>
      </c>
      <c r="Q25" s="2"/>
      <c r="R25" s="76">
        <f t="shared" si="6"/>
        <v>0</v>
      </c>
      <c r="S25" s="2"/>
      <c r="T25" s="2"/>
      <c r="U25" s="3">
        <f t="shared" si="7"/>
        <v>232.452</v>
      </c>
      <c r="V25" s="2">
        <v>120</v>
      </c>
      <c r="W25" s="73">
        <f t="shared" si="8"/>
        <v>100</v>
      </c>
      <c r="X25" s="2">
        <v>840</v>
      </c>
      <c r="Y25" s="10"/>
      <c r="Z25" s="2"/>
      <c r="AA25" s="73">
        <f t="shared" si="13"/>
        <v>0</v>
      </c>
      <c r="AB25" s="10"/>
      <c r="AC25" s="10"/>
      <c r="AD25" s="13">
        <f t="shared" si="12"/>
        <v>0</v>
      </c>
      <c r="AE25" s="10"/>
      <c r="AF25" s="10">
        <f t="shared" si="1"/>
        <v>2320</v>
      </c>
      <c r="AG25" s="12">
        <f t="shared" si="9"/>
        <v>1933.3333333333335</v>
      </c>
      <c r="AH25" s="11">
        <f>G25*3.7+L25*3.7+Q25*4.2+V25*7.5+Z25+AE25</f>
        <v>2750</v>
      </c>
      <c r="AI25" s="12">
        <f t="shared" si="10"/>
        <v>2291.666666666667</v>
      </c>
      <c r="AJ25" s="24">
        <v>19</v>
      </c>
      <c r="AK25" s="15" t="s">
        <v>116</v>
      </c>
    </row>
    <row r="26" spans="1:37" x14ac:dyDescent="0.25">
      <c r="A26" s="24">
        <v>20</v>
      </c>
      <c r="B26" s="39" t="s">
        <v>64</v>
      </c>
      <c r="C26" s="1">
        <v>2.82</v>
      </c>
      <c r="D26" s="1">
        <v>79</v>
      </c>
      <c r="E26" s="2">
        <v>1130</v>
      </c>
      <c r="F26" s="3">
        <f t="shared" si="11"/>
        <v>33.417000000000002</v>
      </c>
      <c r="G26" s="2">
        <v>423</v>
      </c>
      <c r="H26" s="73">
        <f t="shared" si="2"/>
        <v>150</v>
      </c>
      <c r="I26" s="2">
        <v>1565.1</v>
      </c>
      <c r="J26" s="2"/>
      <c r="K26" s="3">
        <f t="shared" si="3"/>
        <v>0</v>
      </c>
      <c r="L26" s="2"/>
      <c r="M26" s="73">
        <f t="shared" si="4"/>
        <v>0</v>
      </c>
      <c r="N26" s="2"/>
      <c r="O26" s="2">
        <v>282</v>
      </c>
      <c r="P26" s="3">
        <f>Q26*D26/1000</f>
        <v>0</v>
      </c>
      <c r="Q26" s="2"/>
      <c r="R26" s="76">
        <f t="shared" si="6"/>
        <v>0</v>
      </c>
      <c r="S26" s="2"/>
      <c r="T26" s="2">
        <v>282</v>
      </c>
      <c r="U26" s="3">
        <f t="shared" si="7"/>
        <v>11.138999999999999</v>
      </c>
      <c r="V26" s="2">
        <v>141</v>
      </c>
      <c r="W26" s="73">
        <f t="shared" si="8"/>
        <v>50</v>
      </c>
      <c r="X26" s="2">
        <v>987</v>
      </c>
      <c r="Y26" s="10"/>
      <c r="Z26" s="2"/>
      <c r="AA26" s="73">
        <f t="shared" si="13"/>
        <v>0</v>
      </c>
      <c r="AB26" s="10"/>
      <c r="AC26" s="10">
        <v>5219</v>
      </c>
      <c r="AD26" s="13">
        <f t="shared" si="12"/>
        <v>0</v>
      </c>
      <c r="AE26" s="10"/>
      <c r="AF26" s="10">
        <f t="shared" si="1"/>
        <v>2552.1</v>
      </c>
      <c r="AG26" s="12">
        <f>AF26/C26</f>
        <v>905</v>
      </c>
      <c r="AH26" s="11">
        <f>G26*3.7+L26*3.7+Q26*4.2+V26*7.5+Z26+AE26</f>
        <v>2622.6000000000004</v>
      </c>
      <c r="AI26" s="12">
        <f t="shared" si="10"/>
        <v>930.00000000000023</v>
      </c>
      <c r="AJ26" s="24">
        <v>21</v>
      </c>
      <c r="AK26" s="15" t="s">
        <v>64</v>
      </c>
    </row>
    <row r="27" spans="1:37" x14ac:dyDescent="0.25">
      <c r="A27" s="24">
        <v>21</v>
      </c>
      <c r="B27" s="39" t="s">
        <v>65</v>
      </c>
      <c r="C27" s="1">
        <v>2.6</v>
      </c>
      <c r="D27" s="1">
        <v>164</v>
      </c>
      <c r="E27" s="2">
        <v>0</v>
      </c>
      <c r="F27" s="3">
        <f>G27*D27/1000</f>
        <v>49.2</v>
      </c>
      <c r="G27" s="2">
        <v>300</v>
      </c>
      <c r="H27" s="73">
        <f t="shared" si="2"/>
        <v>115.38461538461539</v>
      </c>
      <c r="I27" s="2"/>
      <c r="J27" s="2"/>
      <c r="K27" s="3"/>
      <c r="L27" s="2"/>
      <c r="M27" s="73">
        <f t="shared" si="4"/>
        <v>0</v>
      </c>
      <c r="N27" s="2"/>
      <c r="O27" s="2">
        <v>0</v>
      </c>
      <c r="P27" s="3">
        <f>Q27*D27/1000</f>
        <v>41</v>
      </c>
      <c r="Q27" s="2">
        <v>250</v>
      </c>
      <c r="R27" s="76">
        <f t="shared" si="6"/>
        <v>96.153846153846146</v>
      </c>
      <c r="S27" s="2"/>
      <c r="T27" s="2"/>
      <c r="U27" s="3">
        <f t="shared" si="7"/>
        <v>14.76</v>
      </c>
      <c r="V27" s="2">
        <v>90</v>
      </c>
      <c r="W27" s="73">
        <f t="shared" si="8"/>
        <v>34.615384615384613</v>
      </c>
      <c r="X27" s="2">
        <v>675</v>
      </c>
      <c r="Y27" s="10" t="s">
        <v>137</v>
      </c>
      <c r="Z27" s="6"/>
      <c r="AA27" s="73">
        <f t="shared" si="13"/>
        <v>0</v>
      </c>
      <c r="AB27" s="6">
        <v>3000</v>
      </c>
      <c r="AC27" s="10">
        <v>102305</v>
      </c>
      <c r="AD27" s="13">
        <f t="shared" si="12"/>
        <v>0</v>
      </c>
      <c r="AE27" s="10"/>
      <c r="AF27" s="10">
        <f>I27+N27+S27+X27+AB27+AE27</f>
        <v>3675</v>
      </c>
      <c r="AG27" s="12">
        <f t="shared" si="9"/>
        <v>1413.4615384615383</v>
      </c>
      <c r="AH27" s="11">
        <f>G27*3.7+L27*3.7+Q27*4.2+V27*7.5+AE27+AB27</f>
        <v>5835</v>
      </c>
      <c r="AI27" s="12">
        <f t="shared" si="10"/>
        <v>2244.2307692307691</v>
      </c>
      <c r="AJ27" s="24">
        <v>22</v>
      </c>
      <c r="AK27" s="15" t="s">
        <v>65</v>
      </c>
    </row>
    <row r="28" spans="1:37" ht="25.5" customHeight="1" x14ac:dyDescent="0.25">
      <c r="A28" s="24">
        <v>22</v>
      </c>
      <c r="B28" s="66" t="s">
        <v>188</v>
      </c>
      <c r="C28" s="1"/>
      <c r="D28" s="1"/>
      <c r="E28" s="2"/>
      <c r="F28" s="3">
        <f t="shared" si="11"/>
        <v>0</v>
      </c>
      <c r="G28" s="2"/>
      <c r="H28" s="73" t="e">
        <f t="shared" si="2"/>
        <v>#DIV/0!</v>
      </c>
      <c r="I28" s="2"/>
      <c r="J28" s="2"/>
      <c r="K28" s="3">
        <f t="shared" si="3"/>
        <v>0</v>
      </c>
      <c r="L28" s="2"/>
      <c r="M28" s="73" t="e">
        <f t="shared" si="4"/>
        <v>#DIV/0!</v>
      </c>
      <c r="N28" s="2"/>
      <c r="O28" s="2"/>
      <c r="P28" s="3">
        <f t="shared" si="5"/>
        <v>0</v>
      </c>
      <c r="Q28" s="2"/>
      <c r="R28" s="76" t="e">
        <f t="shared" si="6"/>
        <v>#DIV/0!</v>
      </c>
      <c r="S28" s="2"/>
      <c r="T28" s="2"/>
      <c r="U28" s="3">
        <f t="shared" si="7"/>
        <v>0</v>
      </c>
      <c r="V28" s="2"/>
      <c r="W28" s="73" t="e">
        <f t="shared" si="8"/>
        <v>#DIV/0!</v>
      </c>
      <c r="X28" s="2"/>
      <c r="Y28" s="10"/>
      <c r="Z28" s="6"/>
      <c r="AA28" s="73" t="e">
        <f t="shared" si="13"/>
        <v>#DIV/0!</v>
      </c>
      <c r="AB28" s="6"/>
      <c r="AC28" s="10"/>
      <c r="AD28" s="13" t="e">
        <f t="shared" si="12"/>
        <v>#DIV/0!</v>
      </c>
      <c r="AE28" s="10"/>
      <c r="AF28" s="10">
        <f t="shared" si="1"/>
        <v>0</v>
      </c>
      <c r="AG28" s="12" t="e">
        <f t="shared" si="9"/>
        <v>#DIV/0!</v>
      </c>
      <c r="AH28" s="11">
        <f>G28*3.7+L28*3.7+Q28*4.2+V28*7.5+AE28</f>
        <v>0</v>
      </c>
      <c r="AI28" s="12" t="e">
        <f t="shared" si="10"/>
        <v>#DIV/0!</v>
      </c>
      <c r="AJ28" s="24">
        <v>23</v>
      </c>
      <c r="AK28" s="15" t="s">
        <v>66</v>
      </c>
    </row>
    <row r="29" spans="1:37" x14ac:dyDescent="0.25">
      <c r="A29" s="24">
        <v>23</v>
      </c>
      <c r="B29" s="93" t="s">
        <v>67</v>
      </c>
      <c r="C29" s="1">
        <v>3</v>
      </c>
      <c r="D29" s="1">
        <v>38</v>
      </c>
      <c r="E29" s="2">
        <v>1000</v>
      </c>
      <c r="F29" s="3">
        <f t="shared" si="11"/>
        <v>38</v>
      </c>
      <c r="G29" s="2">
        <v>1000</v>
      </c>
      <c r="H29" s="73">
        <f>G29/C29</f>
        <v>333.33333333333331</v>
      </c>
      <c r="I29" s="2">
        <v>3800</v>
      </c>
      <c r="J29" s="2"/>
      <c r="K29" s="3">
        <f t="shared" si="3"/>
        <v>0</v>
      </c>
      <c r="L29" s="2"/>
      <c r="M29" s="73">
        <f t="shared" si="4"/>
        <v>0</v>
      </c>
      <c r="N29" s="2"/>
      <c r="O29" s="2"/>
      <c r="P29" s="3">
        <f t="shared" si="5"/>
        <v>0</v>
      </c>
      <c r="Q29" s="2"/>
      <c r="R29" s="76">
        <f t="shared" si="6"/>
        <v>0</v>
      </c>
      <c r="S29" s="2"/>
      <c r="T29" s="2">
        <v>100</v>
      </c>
      <c r="U29" s="3">
        <f t="shared" si="7"/>
        <v>3.8</v>
      </c>
      <c r="V29" s="2">
        <v>100</v>
      </c>
      <c r="W29" s="73">
        <f t="shared" si="8"/>
        <v>33.333333333333336</v>
      </c>
      <c r="X29" s="2">
        <v>650</v>
      </c>
      <c r="Y29" s="10"/>
      <c r="Z29" s="2"/>
      <c r="AA29" s="73">
        <f t="shared" si="13"/>
        <v>0</v>
      </c>
      <c r="AB29" s="2"/>
      <c r="AC29" s="10">
        <v>4450</v>
      </c>
      <c r="AD29" s="13">
        <f t="shared" si="12"/>
        <v>0</v>
      </c>
      <c r="AE29" s="10"/>
      <c r="AF29" s="10">
        <f t="shared" si="1"/>
        <v>4450</v>
      </c>
      <c r="AG29" s="12">
        <f t="shared" si="9"/>
        <v>1483.3333333333333</v>
      </c>
      <c r="AH29" s="11">
        <f>G29*3.7+L29*3.7+Q29*4.2+V29*7.5</f>
        <v>4450</v>
      </c>
      <c r="AI29" s="12">
        <f t="shared" si="10"/>
        <v>1483.3333333333333</v>
      </c>
      <c r="AJ29" s="24">
        <v>24</v>
      </c>
      <c r="AK29" s="24" t="s">
        <v>67</v>
      </c>
    </row>
    <row r="30" spans="1:37" x14ac:dyDescent="0.25">
      <c r="A30" s="24">
        <v>24</v>
      </c>
      <c r="B30" s="39" t="s">
        <v>68</v>
      </c>
      <c r="C30" s="1">
        <v>3</v>
      </c>
      <c r="D30" s="1">
        <v>80</v>
      </c>
      <c r="E30" s="2">
        <v>1000</v>
      </c>
      <c r="F30" s="3">
        <f t="shared" si="11"/>
        <v>80</v>
      </c>
      <c r="G30" s="2">
        <v>1000</v>
      </c>
      <c r="H30" s="73">
        <f t="shared" si="2"/>
        <v>333.33333333333331</v>
      </c>
      <c r="I30" s="2">
        <v>3800</v>
      </c>
      <c r="J30" s="2"/>
      <c r="K30" s="3">
        <f t="shared" si="3"/>
        <v>0</v>
      </c>
      <c r="L30" s="2"/>
      <c r="M30" s="73">
        <f t="shared" si="4"/>
        <v>0</v>
      </c>
      <c r="N30" s="2"/>
      <c r="O30" s="2"/>
      <c r="P30" s="3">
        <f t="shared" si="5"/>
        <v>0</v>
      </c>
      <c r="Q30" s="2"/>
      <c r="R30" s="76">
        <f t="shared" si="6"/>
        <v>0</v>
      </c>
      <c r="S30" s="2"/>
      <c r="T30" s="2">
        <v>100</v>
      </c>
      <c r="U30" s="3">
        <f t="shared" si="7"/>
        <v>8</v>
      </c>
      <c r="V30" s="2">
        <v>100</v>
      </c>
      <c r="W30" s="73">
        <f t="shared" si="8"/>
        <v>33.333333333333336</v>
      </c>
      <c r="X30" s="2">
        <v>650</v>
      </c>
      <c r="Y30" s="10"/>
      <c r="Z30" s="2"/>
      <c r="AA30" s="73">
        <f t="shared" si="13"/>
        <v>0</v>
      </c>
      <c r="AB30" s="2"/>
      <c r="AC30" s="10">
        <v>4450</v>
      </c>
      <c r="AD30" s="13">
        <f t="shared" si="12"/>
        <v>0</v>
      </c>
      <c r="AE30" s="10"/>
      <c r="AF30" s="10">
        <f t="shared" si="1"/>
        <v>4450</v>
      </c>
      <c r="AG30" s="12">
        <f t="shared" si="9"/>
        <v>1483.3333333333333</v>
      </c>
      <c r="AH30" s="11">
        <f>G30*3.7+L30*3.7+Q30*4.2+V30*7.5</f>
        <v>4450</v>
      </c>
      <c r="AI30" s="12">
        <f t="shared" si="10"/>
        <v>1483.3333333333333</v>
      </c>
      <c r="AJ30" s="24">
        <v>25</v>
      </c>
      <c r="AK30" s="15" t="s">
        <v>68</v>
      </c>
    </row>
    <row r="31" spans="1:37" x14ac:dyDescent="0.25">
      <c r="A31" s="24">
        <v>25</v>
      </c>
      <c r="B31" s="39" t="s">
        <v>191</v>
      </c>
      <c r="C31" s="7">
        <v>1.51</v>
      </c>
      <c r="D31" s="7">
        <v>206</v>
      </c>
      <c r="E31" s="8"/>
      <c r="F31" s="3">
        <f t="shared" si="11"/>
        <v>0</v>
      </c>
      <c r="G31" s="8"/>
      <c r="H31" s="73">
        <f t="shared" si="2"/>
        <v>0</v>
      </c>
      <c r="I31" s="8">
        <v>875</v>
      </c>
      <c r="J31" s="8"/>
      <c r="K31" s="3">
        <f t="shared" si="3"/>
        <v>0</v>
      </c>
      <c r="L31" s="8"/>
      <c r="M31" s="73">
        <f t="shared" si="4"/>
        <v>0</v>
      </c>
      <c r="N31" s="8"/>
      <c r="O31" s="8"/>
      <c r="P31" s="3">
        <f t="shared" si="5"/>
        <v>0</v>
      </c>
      <c r="Q31" s="8"/>
      <c r="R31" s="76">
        <f t="shared" si="6"/>
        <v>0</v>
      </c>
      <c r="S31" s="8"/>
      <c r="T31" s="8"/>
      <c r="U31" s="3">
        <f t="shared" si="7"/>
        <v>0</v>
      </c>
      <c r="V31" s="8"/>
      <c r="W31" s="73">
        <f t="shared" si="8"/>
        <v>0</v>
      </c>
      <c r="X31" s="8">
        <v>200</v>
      </c>
      <c r="Y31" s="10"/>
      <c r="Z31" s="8"/>
      <c r="AA31" s="73">
        <f t="shared" si="13"/>
        <v>0</v>
      </c>
      <c r="AB31" s="8"/>
      <c r="AC31" s="10">
        <v>1075</v>
      </c>
      <c r="AD31" s="13">
        <f t="shared" si="12"/>
        <v>0</v>
      </c>
      <c r="AE31" s="10"/>
      <c r="AF31" s="10">
        <f>I31+N31+S31+X31+AB31+AE31</f>
        <v>1075</v>
      </c>
      <c r="AG31" s="12">
        <f t="shared" si="9"/>
        <v>711.92052980132451</v>
      </c>
      <c r="AH31" s="11">
        <f>AC31</f>
        <v>1075</v>
      </c>
      <c r="AI31" s="12">
        <f t="shared" si="10"/>
        <v>711.92052980132451</v>
      </c>
      <c r="AJ31" s="24">
        <v>26</v>
      </c>
      <c r="AK31" s="15" t="s">
        <v>69</v>
      </c>
    </row>
    <row r="32" spans="1:37" ht="23.25" customHeight="1" x14ac:dyDescent="0.25">
      <c r="A32" s="24">
        <v>26</v>
      </c>
      <c r="B32" s="66" t="s">
        <v>189</v>
      </c>
      <c r="C32" s="1"/>
      <c r="D32" s="1"/>
      <c r="E32" s="2"/>
      <c r="F32" s="3">
        <f>G32*D32/1000</f>
        <v>0</v>
      </c>
      <c r="G32" s="2"/>
      <c r="H32" s="73" t="e">
        <f>G32/C32</f>
        <v>#DIV/0!</v>
      </c>
      <c r="I32" s="2"/>
      <c r="J32" s="2"/>
      <c r="K32" s="3">
        <f>L32*D32/1000</f>
        <v>0</v>
      </c>
      <c r="L32" s="2"/>
      <c r="M32" s="73" t="e">
        <f>L32/C32</f>
        <v>#DIV/0!</v>
      </c>
      <c r="N32" s="2"/>
      <c r="O32" s="2"/>
      <c r="P32" s="3">
        <f>Q32*D32/1000</f>
        <v>0</v>
      </c>
      <c r="Q32" s="2"/>
      <c r="R32" s="76" t="e">
        <f>Q32/C32</f>
        <v>#DIV/0!</v>
      </c>
      <c r="S32" s="2"/>
      <c r="T32" s="2"/>
      <c r="U32" s="3">
        <f>V32*D32/1000</f>
        <v>0</v>
      </c>
      <c r="V32" s="2"/>
      <c r="W32" s="73" t="e">
        <f>V32/C32</f>
        <v>#DIV/0!</v>
      </c>
      <c r="X32" s="2"/>
      <c r="Y32" s="10"/>
      <c r="Z32" s="2"/>
      <c r="AA32" s="73" t="e">
        <f t="shared" si="13"/>
        <v>#DIV/0!</v>
      </c>
      <c r="AB32" s="2"/>
      <c r="AC32" s="10"/>
      <c r="AD32" s="13" t="e">
        <f>AE32/C32</f>
        <v>#DIV/0!</v>
      </c>
      <c r="AE32" s="10"/>
      <c r="AF32" s="10">
        <f t="shared" si="1"/>
        <v>0</v>
      </c>
      <c r="AG32" s="12" t="e">
        <f>AF32/C32</f>
        <v>#DIV/0!</v>
      </c>
      <c r="AH32" s="11">
        <f>G32*3.7+L32*3.7+Q32*4.2+V32*7.5</f>
        <v>0</v>
      </c>
      <c r="AI32" s="12" t="e">
        <f>AH32/C32</f>
        <v>#DIV/0!</v>
      </c>
      <c r="AJ32" s="24">
        <v>28</v>
      </c>
      <c r="AK32" s="15" t="s">
        <v>70</v>
      </c>
    </row>
    <row r="33" spans="1:37" x14ac:dyDescent="0.25">
      <c r="A33" s="24">
        <v>27</v>
      </c>
      <c r="B33" s="39" t="s">
        <v>71</v>
      </c>
      <c r="C33" s="1">
        <v>3</v>
      </c>
      <c r="D33" s="1">
        <v>35</v>
      </c>
      <c r="E33" s="2">
        <v>1000</v>
      </c>
      <c r="F33" s="3">
        <f t="shared" si="11"/>
        <v>35</v>
      </c>
      <c r="G33" s="2">
        <v>1000</v>
      </c>
      <c r="H33" s="73">
        <f t="shared" si="2"/>
        <v>333.33333333333331</v>
      </c>
      <c r="I33" s="2">
        <v>3800</v>
      </c>
      <c r="J33" s="2"/>
      <c r="K33" s="3">
        <f t="shared" si="3"/>
        <v>0</v>
      </c>
      <c r="L33" s="2"/>
      <c r="M33" s="73">
        <f t="shared" si="4"/>
        <v>0</v>
      </c>
      <c r="N33" s="2"/>
      <c r="O33" s="2">
        <v>300</v>
      </c>
      <c r="P33" s="3">
        <f t="shared" si="5"/>
        <v>10.5</v>
      </c>
      <c r="Q33" s="2">
        <v>300</v>
      </c>
      <c r="R33" s="76">
        <f t="shared" si="6"/>
        <v>100</v>
      </c>
      <c r="S33" s="2">
        <v>1200</v>
      </c>
      <c r="T33" s="2">
        <v>100</v>
      </c>
      <c r="U33" s="3">
        <f t="shared" si="7"/>
        <v>3.5</v>
      </c>
      <c r="V33" s="2">
        <v>100</v>
      </c>
      <c r="W33" s="73">
        <f t="shared" si="8"/>
        <v>33.333333333333336</v>
      </c>
      <c r="X33" s="2">
        <v>650</v>
      </c>
      <c r="Y33" s="10"/>
      <c r="Z33" s="2"/>
      <c r="AA33" s="73">
        <f t="shared" si="13"/>
        <v>0</v>
      </c>
      <c r="AB33" s="2"/>
      <c r="AC33" s="10">
        <v>5650</v>
      </c>
      <c r="AD33" s="13">
        <f t="shared" ref="AD33:AD39" si="14">AE33/C33</f>
        <v>0</v>
      </c>
      <c r="AE33" s="10"/>
      <c r="AF33" s="10">
        <f t="shared" si="1"/>
        <v>5650</v>
      </c>
      <c r="AG33" s="12">
        <f>AF33/C33</f>
        <v>1883.3333333333333</v>
      </c>
      <c r="AH33" s="11">
        <f>G33*3.7+L33*3.7+Q33*4.2+V33*7.5</f>
        <v>5710</v>
      </c>
      <c r="AI33" s="12">
        <f t="shared" si="10"/>
        <v>1903.3333333333333</v>
      </c>
      <c r="AJ33" s="24">
        <v>29</v>
      </c>
      <c r="AK33" s="15" t="s">
        <v>71</v>
      </c>
    </row>
    <row r="34" spans="1:37" x14ac:dyDescent="0.25">
      <c r="A34" s="24">
        <v>28</v>
      </c>
      <c r="B34" s="39" t="s">
        <v>72</v>
      </c>
      <c r="C34" s="1">
        <v>3</v>
      </c>
      <c r="D34" s="1">
        <v>37</v>
      </c>
      <c r="E34" s="2">
        <v>600</v>
      </c>
      <c r="F34" s="3">
        <f t="shared" si="11"/>
        <v>22.2</v>
      </c>
      <c r="G34" s="2">
        <v>600</v>
      </c>
      <c r="H34" s="73">
        <f t="shared" si="2"/>
        <v>200</v>
      </c>
      <c r="I34" s="2">
        <v>2220</v>
      </c>
      <c r="J34" s="2"/>
      <c r="K34" s="3">
        <f t="shared" si="3"/>
        <v>0</v>
      </c>
      <c r="L34" s="2"/>
      <c r="M34" s="73">
        <f t="shared" si="4"/>
        <v>0</v>
      </c>
      <c r="N34" s="2"/>
      <c r="O34" s="2"/>
      <c r="P34" s="3">
        <f t="shared" si="5"/>
        <v>0</v>
      </c>
      <c r="Q34" s="2"/>
      <c r="R34" s="76">
        <f t="shared" si="6"/>
        <v>0</v>
      </c>
      <c r="S34" s="2"/>
      <c r="T34" s="2">
        <v>100</v>
      </c>
      <c r="U34" s="3">
        <f t="shared" si="7"/>
        <v>3.7</v>
      </c>
      <c r="V34" s="2">
        <v>100</v>
      </c>
      <c r="W34" s="73">
        <f>V34/C34</f>
        <v>33.333333333333336</v>
      </c>
      <c r="X34" s="2">
        <v>750</v>
      </c>
      <c r="Y34" s="10"/>
      <c r="Z34" s="2"/>
      <c r="AA34" s="73">
        <f t="shared" si="13"/>
        <v>0</v>
      </c>
      <c r="AB34" s="2"/>
      <c r="AC34" s="10">
        <v>2970</v>
      </c>
      <c r="AD34" s="13">
        <f t="shared" si="14"/>
        <v>0</v>
      </c>
      <c r="AE34" s="10"/>
      <c r="AF34" s="10">
        <f t="shared" si="1"/>
        <v>2970</v>
      </c>
      <c r="AG34" s="12">
        <f t="shared" si="9"/>
        <v>990</v>
      </c>
      <c r="AH34" s="11">
        <f>G34*3.7+L34*3.7+Q34*4.2+V34*7.5</f>
        <v>2970</v>
      </c>
      <c r="AI34" s="12">
        <f t="shared" si="10"/>
        <v>990</v>
      </c>
      <c r="AJ34" s="24">
        <v>30</v>
      </c>
      <c r="AK34" s="15" t="s">
        <v>72</v>
      </c>
    </row>
    <row r="35" spans="1:37" x14ac:dyDescent="0.25">
      <c r="A35" s="24">
        <v>29</v>
      </c>
      <c r="B35" s="39" t="s">
        <v>138</v>
      </c>
      <c r="C35" s="1">
        <v>3</v>
      </c>
      <c r="D35" s="1">
        <v>14</v>
      </c>
      <c r="E35" s="2">
        <v>350</v>
      </c>
      <c r="F35" s="3">
        <f t="shared" si="11"/>
        <v>4.9000000000000004</v>
      </c>
      <c r="G35" s="2">
        <v>350</v>
      </c>
      <c r="H35" s="73">
        <f t="shared" si="2"/>
        <v>116.66666666666667</v>
      </c>
      <c r="I35" s="2">
        <v>1050</v>
      </c>
      <c r="J35" s="2"/>
      <c r="K35" s="3">
        <f t="shared" si="3"/>
        <v>0</v>
      </c>
      <c r="L35" s="2"/>
      <c r="M35" s="73">
        <f t="shared" si="4"/>
        <v>0</v>
      </c>
      <c r="N35" s="2"/>
      <c r="O35" s="2"/>
      <c r="P35" s="3">
        <f>Q35*D35/1000</f>
        <v>4.9000000000000004</v>
      </c>
      <c r="Q35" s="2">
        <v>350</v>
      </c>
      <c r="R35" s="76">
        <f t="shared" si="6"/>
        <v>116.66666666666667</v>
      </c>
      <c r="S35" s="2">
        <v>1400</v>
      </c>
      <c r="T35" s="2"/>
      <c r="U35" s="3">
        <f t="shared" si="7"/>
        <v>1.4</v>
      </c>
      <c r="V35" s="2">
        <v>100</v>
      </c>
      <c r="W35" s="73">
        <f t="shared" si="8"/>
        <v>33.333333333333336</v>
      </c>
      <c r="X35" s="2">
        <v>600</v>
      </c>
      <c r="Y35" s="10"/>
      <c r="Z35" s="2"/>
      <c r="AA35" s="73">
        <f t="shared" si="13"/>
        <v>0</v>
      </c>
      <c r="AB35" s="2"/>
      <c r="AC35" s="10">
        <v>3050</v>
      </c>
      <c r="AD35" s="13">
        <f t="shared" si="14"/>
        <v>0</v>
      </c>
      <c r="AE35" s="10"/>
      <c r="AF35" s="10">
        <f t="shared" si="1"/>
        <v>3050</v>
      </c>
      <c r="AG35" s="12">
        <f t="shared" si="9"/>
        <v>1016.6666666666666</v>
      </c>
      <c r="AH35" s="11">
        <f>G35*3.7+L35*3.7+Q35*4.2+V35*7.5</f>
        <v>3515</v>
      </c>
      <c r="AI35" s="12">
        <f t="shared" si="10"/>
        <v>1171.6666666666667</v>
      </c>
      <c r="AJ35" s="24"/>
      <c r="AK35" s="15" t="s">
        <v>138</v>
      </c>
    </row>
    <row r="36" spans="1:37" x14ac:dyDescent="0.25">
      <c r="A36" s="24">
        <v>30</v>
      </c>
      <c r="B36" s="93" t="s">
        <v>79</v>
      </c>
      <c r="C36" s="1">
        <v>2.5</v>
      </c>
      <c r="D36" s="1">
        <v>95</v>
      </c>
      <c r="E36" s="2"/>
      <c r="F36" s="3">
        <f t="shared" si="11"/>
        <v>0</v>
      </c>
      <c r="G36" s="2"/>
      <c r="H36" s="73">
        <f t="shared" si="2"/>
        <v>0</v>
      </c>
      <c r="I36" s="2"/>
      <c r="J36" s="2"/>
      <c r="K36" s="3">
        <f t="shared" si="3"/>
        <v>0</v>
      </c>
      <c r="L36" s="2"/>
      <c r="M36" s="73">
        <f t="shared" si="4"/>
        <v>0</v>
      </c>
      <c r="N36" s="2"/>
      <c r="O36" s="2"/>
      <c r="P36" s="3">
        <f t="shared" si="5"/>
        <v>0</v>
      </c>
      <c r="Q36" s="2"/>
      <c r="R36" s="76"/>
      <c r="S36" s="2"/>
      <c r="T36" s="2"/>
      <c r="U36" s="3">
        <f t="shared" si="7"/>
        <v>0</v>
      </c>
      <c r="V36" s="2"/>
      <c r="W36" s="73">
        <f t="shared" si="8"/>
        <v>0</v>
      </c>
      <c r="X36" s="2"/>
      <c r="Y36" s="10" t="s">
        <v>137</v>
      </c>
      <c r="Z36" s="2"/>
      <c r="AA36" s="73">
        <f t="shared" si="13"/>
        <v>0</v>
      </c>
      <c r="AB36" s="2">
        <v>3000</v>
      </c>
      <c r="AC36" s="10">
        <v>180040</v>
      </c>
      <c r="AD36" s="13">
        <f t="shared" si="14"/>
        <v>0</v>
      </c>
      <c r="AE36" s="10"/>
      <c r="AF36" s="10">
        <f>I36+N36+S36+X36+AB36+AE36</f>
        <v>3000</v>
      </c>
      <c r="AG36" s="12">
        <f t="shared" si="9"/>
        <v>1200</v>
      </c>
      <c r="AH36" s="11">
        <f>G36*3.7+L36*3.7+Q36*4.2+V36*7.5+AB36</f>
        <v>3000</v>
      </c>
      <c r="AI36" s="12">
        <f t="shared" si="10"/>
        <v>1200</v>
      </c>
      <c r="AJ36" s="24"/>
      <c r="AK36" s="24" t="s">
        <v>79</v>
      </c>
    </row>
    <row r="37" spans="1:37" x14ac:dyDescent="0.25">
      <c r="A37" s="24">
        <v>31</v>
      </c>
      <c r="B37" s="39" t="s">
        <v>123</v>
      </c>
      <c r="C37" s="1">
        <v>1.21</v>
      </c>
      <c r="D37" s="1">
        <v>86</v>
      </c>
      <c r="E37" s="2">
        <v>450</v>
      </c>
      <c r="F37" s="3">
        <f>G37*D37/1000</f>
        <v>12.9</v>
      </c>
      <c r="G37" s="2">
        <v>150</v>
      </c>
      <c r="H37" s="73">
        <f>G37/C37</f>
        <v>123.96694214876034</v>
      </c>
      <c r="I37" s="2">
        <v>555</v>
      </c>
      <c r="J37" s="2"/>
      <c r="K37" s="3">
        <f>L37*D37/1000</f>
        <v>0</v>
      </c>
      <c r="L37" s="2"/>
      <c r="M37" s="73">
        <f>L37/C37</f>
        <v>0</v>
      </c>
      <c r="N37" s="2"/>
      <c r="O37" s="2">
        <v>110</v>
      </c>
      <c r="P37" s="3">
        <f>Q37*D37/1000</f>
        <v>0</v>
      </c>
      <c r="Q37" s="2"/>
      <c r="R37" s="76">
        <f>Q37/C37</f>
        <v>0</v>
      </c>
      <c r="S37" s="2"/>
      <c r="T37" s="2">
        <v>140</v>
      </c>
      <c r="U37" s="3">
        <f>V37*D37/1000</f>
        <v>6.02</v>
      </c>
      <c r="V37" s="2">
        <v>70</v>
      </c>
      <c r="W37" s="73">
        <f>V37/C37</f>
        <v>57.851239669421489</v>
      </c>
      <c r="X37" s="2">
        <v>490</v>
      </c>
      <c r="Y37" s="10"/>
      <c r="Z37" s="6"/>
      <c r="AA37" s="73">
        <f t="shared" si="13"/>
        <v>0</v>
      </c>
      <c r="AB37" s="6"/>
      <c r="AC37" s="10">
        <v>1918</v>
      </c>
      <c r="AD37" s="13">
        <f>AE37/C37</f>
        <v>0</v>
      </c>
      <c r="AE37" s="10"/>
      <c r="AF37" s="10">
        <f t="shared" si="1"/>
        <v>1045</v>
      </c>
      <c r="AG37" s="12">
        <f>AF37/C37</f>
        <v>863.63636363636363</v>
      </c>
      <c r="AH37" s="11">
        <f t="shared" ref="AH37:AH42" si="15">G37*3.7+L37*3.7+Q37*4.2+V37*7.5</f>
        <v>1080</v>
      </c>
      <c r="AI37" s="12">
        <f t="shared" si="10"/>
        <v>892.56198347107443</v>
      </c>
      <c r="AJ37" s="24">
        <v>32</v>
      </c>
      <c r="AK37" s="15" t="s">
        <v>123</v>
      </c>
    </row>
    <row r="38" spans="1:37" x14ac:dyDescent="0.25">
      <c r="A38" s="24">
        <v>32</v>
      </c>
      <c r="B38" s="39" t="s">
        <v>73</v>
      </c>
      <c r="C38" s="1">
        <v>2.4500000000000002</v>
      </c>
      <c r="D38" s="1">
        <v>98</v>
      </c>
      <c r="E38" s="2">
        <v>700</v>
      </c>
      <c r="F38" s="3">
        <f t="shared" si="11"/>
        <v>44.1</v>
      </c>
      <c r="G38" s="2">
        <v>450</v>
      </c>
      <c r="H38" s="73">
        <f t="shared" si="2"/>
        <v>183.67346938775509</v>
      </c>
      <c r="I38" s="2">
        <v>1800</v>
      </c>
      <c r="J38" s="2"/>
      <c r="K38" s="3">
        <f t="shared" si="3"/>
        <v>0</v>
      </c>
      <c r="L38" s="2"/>
      <c r="M38" s="73">
        <f t="shared" si="4"/>
        <v>0</v>
      </c>
      <c r="N38" s="2"/>
      <c r="O38" s="2">
        <v>700</v>
      </c>
      <c r="P38" s="3">
        <f t="shared" si="5"/>
        <v>0</v>
      </c>
      <c r="Q38" s="2"/>
      <c r="R38" s="76">
        <f t="shared" si="6"/>
        <v>0</v>
      </c>
      <c r="S38" s="2"/>
      <c r="T38" s="2">
        <v>100</v>
      </c>
      <c r="U38" s="3">
        <f t="shared" si="7"/>
        <v>14.7</v>
      </c>
      <c r="V38" s="2">
        <v>150</v>
      </c>
      <c r="W38" s="73">
        <f t="shared" si="8"/>
        <v>61.224489795918366</v>
      </c>
      <c r="X38" s="2">
        <v>1200</v>
      </c>
      <c r="Y38" s="10" t="s">
        <v>134</v>
      </c>
      <c r="Z38" s="2">
        <v>100</v>
      </c>
      <c r="AA38" s="73">
        <f t="shared" si="13"/>
        <v>40.816326530612244</v>
      </c>
      <c r="AB38" s="2">
        <v>500</v>
      </c>
      <c r="AC38" s="10">
        <v>3750</v>
      </c>
      <c r="AD38" s="13">
        <f t="shared" si="14"/>
        <v>0</v>
      </c>
      <c r="AE38" s="10"/>
      <c r="AF38" s="10">
        <f t="shared" si="1"/>
        <v>3500</v>
      </c>
      <c r="AG38" s="12">
        <f t="shared" si="9"/>
        <v>1428.5714285714284</v>
      </c>
      <c r="AH38" s="11">
        <f>G38*3.7+L38*3.7+Q38*4.2+V38*7.5+Z38*4</f>
        <v>3190</v>
      </c>
      <c r="AI38" s="12">
        <f t="shared" si="10"/>
        <v>1302.0408163265306</v>
      </c>
      <c r="AJ38" s="24">
        <v>33</v>
      </c>
      <c r="AK38" s="15" t="s">
        <v>73</v>
      </c>
    </row>
    <row r="39" spans="1:37" x14ac:dyDescent="0.25">
      <c r="A39" s="24">
        <v>33</v>
      </c>
      <c r="B39" s="39" t="s">
        <v>74</v>
      </c>
      <c r="C39" s="1">
        <v>3.04</v>
      </c>
      <c r="D39" s="1">
        <v>3</v>
      </c>
      <c r="E39" s="2"/>
      <c r="F39" s="3">
        <f>G39*D39/1000</f>
        <v>0</v>
      </c>
      <c r="G39" s="2"/>
      <c r="H39" s="73">
        <f>G39/C39</f>
        <v>0</v>
      </c>
      <c r="I39" s="2"/>
      <c r="J39" s="2"/>
      <c r="K39" s="3">
        <f>L39*D39/1000</f>
        <v>0</v>
      </c>
      <c r="L39" s="2"/>
      <c r="M39" s="73">
        <f>L39/C39</f>
        <v>0</v>
      </c>
      <c r="N39" s="2"/>
      <c r="O39" s="2"/>
      <c r="P39" s="3">
        <f>Q39*D39/1000</f>
        <v>0</v>
      </c>
      <c r="Q39" s="2"/>
      <c r="R39" s="76">
        <f t="shared" si="6"/>
        <v>0</v>
      </c>
      <c r="S39" s="2"/>
      <c r="T39" s="2">
        <v>750</v>
      </c>
      <c r="U39" s="3">
        <f>V39*D39/1000</f>
        <v>2.25</v>
      </c>
      <c r="V39" s="2">
        <v>750</v>
      </c>
      <c r="W39" s="73">
        <f>V39/C39</f>
        <v>246.71052631578948</v>
      </c>
      <c r="X39" s="2">
        <v>4800</v>
      </c>
      <c r="Y39" s="10"/>
      <c r="Z39" s="2"/>
      <c r="AA39" s="73">
        <f>Z39/C39</f>
        <v>0</v>
      </c>
      <c r="AB39" s="2"/>
      <c r="AC39" s="10">
        <v>4800</v>
      </c>
      <c r="AD39" s="13">
        <f t="shared" si="14"/>
        <v>0</v>
      </c>
      <c r="AE39" s="10"/>
      <c r="AF39" s="10">
        <f>I39+N39+S39+X39+AB39+AE39</f>
        <v>4800</v>
      </c>
      <c r="AG39" s="12">
        <f>AF39/C39</f>
        <v>1578.9473684210527</v>
      </c>
      <c r="AH39" s="11">
        <f>G39*3.7+L39*3.7+Q39*4.2+V39*7.5</f>
        <v>5625</v>
      </c>
      <c r="AI39" s="12">
        <f>AH39/C39</f>
        <v>1850.328947368421</v>
      </c>
      <c r="AJ39" s="24">
        <v>34</v>
      </c>
      <c r="AK39" s="15" t="s">
        <v>74</v>
      </c>
    </row>
    <row r="40" spans="1:37" x14ac:dyDescent="0.25">
      <c r="A40" s="24">
        <v>34</v>
      </c>
      <c r="B40" s="39" t="s">
        <v>161</v>
      </c>
      <c r="C40" s="1">
        <v>1.7</v>
      </c>
      <c r="D40" s="1">
        <v>7</v>
      </c>
      <c r="E40" s="2"/>
      <c r="F40" s="3">
        <f t="shared" si="11"/>
        <v>0</v>
      </c>
      <c r="G40" s="2"/>
      <c r="H40" s="73">
        <f t="shared" si="2"/>
        <v>0</v>
      </c>
      <c r="I40" s="2"/>
      <c r="J40" s="2"/>
      <c r="K40" s="3">
        <f t="shared" si="3"/>
        <v>0</v>
      </c>
      <c r="L40" s="2"/>
      <c r="M40" s="73">
        <f t="shared" si="4"/>
        <v>0</v>
      </c>
      <c r="N40" s="2"/>
      <c r="O40" s="2">
        <v>1350</v>
      </c>
      <c r="P40" s="3">
        <f t="shared" si="5"/>
        <v>9.4499999999999993</v>
      </c>
      <c r="Q40" s="2">
        <v>1350</v>
      </c>
      <c r="R40" s="76">
        <f t="shared" si="6"/>
        <v>794.11764705882354</v>
      </c>
      <c r="S40" s="2">
        <v>4150</v>
      </c>
      <c r="T40" s="2"/>
      <c r="U40" s="3">
        <f t="shared" si="7"/>
        <v>0</v>
      </c>
      <c r="V40" s="2"/>
      <c r="W40" s="73">
        <f t="shared" si="8"/>
        <v>0</v>
      </c>
      <c r="X40" s="2"/>
      <c r="Y40" s="10"/>
      <c r="Z40" s="2"/>
      <c r="AA40" s="73">
        <f t="shared" si="13"/>
        <v>0</v>
      </c>
      <c r="AB40" s="2"/>
      <c r="AC40" s="10">
        <v>4150</v>
      </c>
      <c r="AD40" s="13">
        <f>AE40/C40</f>
        <v>0</v>
      </c>
      <c r="AE40" s="10"/>
      <c r="AF40" s="10">
        <f t="shared" si="1"/>
        <v>4150</v>
      </c>
      <c r="AG40" s="12">
        <f>AF40/C40</f>
        <v>2441.1764705882351</v>
      </c>
      <c r="AH40" s="11">
        <f t="shared" si="15"/>
        <v>5670</v>
      </c>
      <c r="AI40" s="12">
        <f>AH40/C40</f>
        <v>3335.294117647059</v>
      </c>
      <c r="AJ40" s="24">
        <v>34</v>
      </c>
      <c r="AK40" s="39" t="s">
        <v>161</v>
      </c>
    </row>
    <row r="41" spans="1:37" x14ac:dyDescent="0.25">
      <c r="A41" s="24">
        <v>35</v>
      </c>
      <c r="B41" s="39" t="s">
        <v>75</v>
      </c>
      <c r="C41" s="1">
        <v>1.5</v>
      </c>
      <c r="D41" s="1">
        <v>80</v>
      </c>
      <c r="E41" s="2">
        <v>500</v>
      </c>
      <c r="F41" s="3">
        <f t="shared" si="11"/>
        <v>40</v>
      </c>
      <c r="G41" s="2">
        <v>500</v>
      </c>
      <c r="H41" s="73">
        <f t="shared" si="2"/>
        <v>333.33333333333331</v>
      </c>
      <c r="I41" s="2">
        <v>1250</v>
      </c>
      <c r="J41" s="2">
        <v>100</v>
      </c>
      <c r="K41" s="3">
        <f t="shared" si="3"/>
        <v>8</v>
      </c>
      <c r="L41" s="2">
        <v>100</v>
      </c>
      <c r="M41" s="73">
        <f t="shared" si="4"/>
        <v>66.666666666666671</v>
      </c>
      <c r="N41" s="2">
        <v>250</v>
      </c>
      <c r="O41" s="2"/>
      <c r="P41" s="3">
        <f t="shared" si="5"/>
        <v>0</v>
      </c>
      <c r="Q41" s="2"/>
      <c r="R41" s="76">
        <f t="shared" si="6"/>
        <v>0</v>
      </c>
      <c r="S41" s="2"/>
      <c r="T41" s="2">
        <v>100</v>
      </c>
      <c r="U41" s="3">
        <f t="shared" si="7"/>
        <v>8</v>
      </c>
      <c r="V41" s="2">
        <v>100</v>
      </c>
      <c r="W41" s="73">
        <f t="shared" si="8"/>
        <v>66.666666666666671</v>
      </c>
      <c r="X41" s="2">
        <v>600</v>
      </c>
      <c r="Y41" s="10"/>
      <c r="Z41" s="2"/>
      <c r="AA41" s="73">
        <f t="shared" si="13"/>
        <v>0</v>
      </c>
      <c r="AB41" s="2"/>
      <c r="AC41" s="10">
        <v>2100</v>
      </c>
      <c r="AD41" s="13">
        <f>AE41/C41</f>
        <v>0</v>
      </c>
      <c r="AE41" s="10"/>
      <c r="AF41" s="10">
        <f t="shared" si="1"/>
        <v>2100</v>
      </c>
      <c r="AG41" s="12">
        <f t="shared" si="9"/>
        <v>1400</v>
      </c>
      <c r="AH41" s="11">
        <f>G41*3.7+L41*3.7+Q41*4.2+V41*7.5</f>
        <v>2970</v>
      </c>
      <c r="AI41" s="12">
        <f t="shared" si="10"/>
        <v>1980</v>
      </c>
      <c r="AJ41" s="24">
        <v>35</v>
      </c>
      <c r="AK41" s="15" t="s">
        <v>75</v>
      </c>
    </row>
    <row r="42" spans="1:37" x14ac:dyDescent="0.25">
      <c r="A42" s="24">
        <v>36</v>
      </c>
      <c r="B42" s="93" t="s">
        <v>118</v>
      </c>
      <c r="C42" s="1">
        <v>2.84</v>
      </c>
      <c r="D42" s="1">
        <v>69</v>
      </c>
      <c r="E42" s="2">
        <v>568</v>
      </c>
      <c r="F42" s="3">
        <f t="shared" si="11"/>
        <v>29.393999999999998</v>
      </c>
      <c r="G42" s="2">
        <v>426</v>
      </c>
      <c r="H42" s="73">
        <f t="shared" si="2"/>
        <v>150</v>
      </c>
      <c r="I42" s="2">
        <v>1576</v>
      </c>
      <c r="J42" s="2">
        <v>142</v>
      </c>
      <c r="K42" s="3">
        <f t="shared" si="3"/>
        <v>0</v>
      </c>
      <c r="L42" s="2"/>
      <c r="M42" s="73">
        <f t="shared" si="4"/>
        <v>0</v>
      </c>
      <c r="N42" s="2"/>
      <c r="O42" s="2">
        <v>255</v>
      </c>
      <c r="P42" s="3">
        <f t="shared" si="5"/>
        <v>0</v>
      </c>
      <c r="Q42" s="2"/>
      <c r="R42" s="76">
        <f t="shared" si="6"/>
        <v>0</v>
      </c>
      <c r="S42" s="2"/>
      <c r="T42" s="2">
        <v>142</v>
      </c>
      <c r="U42" s="3">
        <f t="shared" si="7"/>
        <v>9.798</v>
      </c>
      <c r="V42" s="2">
        <v>142</v>
      </c>
      <c r="W42" s="73">
        <f t="shared" si="8"/>
        <v>50</v>
      </c>
      <c r="X42" s="2">
        <v>994</v>
      </c>
      <c r="Y42" s="10"/>
      <c r="Z42" s="6"/>
      <c r="AA42" s="73">
        <f t="shared" si="13"/>
        <v>0</v>
      </c>
      <c r="AB42" s="6"/>
      <c r="AC42" s="10">
        <v>3122</v>
      </c>
      <c r="AD42" s="13">
        <f>AE42/C42</f>
        <v>0</v>
      </c>
      <c r="AE42" s="10"/>
      <c r="AF42" s="10">
        <f>I42+N42+S42+X42+AB42+AE42</f>
        <v>2570</v>
      </c>
      <c r="AG42" s="12">
        <f>AF42/C42</f>
        <v>904.92957746478874</v>
      </c>
      <c r="AH42" s="11">
        <f t="shared" si="15"/>
        <v>2641.2</v>
      </c>
      <c r="AI42" s="12">
        <f t="shared" si="10"/>
        <v>930</v>
      </c>
      <c r="AJ42" s="24">
        <v>36</v>
      </c>
      <c r="AK42" s="24" t="s">
        <v>118</v>
      </c>
    </row>
    <row r="43" spans="1:37" x14ac:dyDescent="0.25">
      <c r="A43" s="24">
        <v>37</v>
      </c>
      <c r="B43" s="39" t="s">
        <v>76</v>
      </c>
      <c r="C43" s="1">
        <v>1.6</v>
      </c>
      <c r="D43" s="1">
        <v>285</v>
      </c>
      <c r="E43" s="2">
        <v>350</v>
      </c>
      <c r="F43" s="3">
        <f t="shared" si="11"/>
        <v>99.75</v>
      </c>
      <c r="G43" s="2">
        <v>350</v>
      </c>
      <c r="H43" s="73">
        <f t="shared" si="2"/>
        <v>218.75</v>
      </c>
      <c r="I43" s="2">
        <v>1100</v>
      </c>
      <c r="J43" s="2"/>
      <c r="K43" s="3"/>
      <c r="L43" s="2"/>
      <c r="M43" s="73"/>
      <c r="N43" s="2"/>
      <c r="O43" s="2"/>
      <c r="P43" s="3">
        <f t="shared" si="5"/>
        <v>0</v>
      </c>
      <c r="Q43" s="2"/>
      <c r="R43" s="76">
        <f t="shared" si="6"/>
        <v>0</v>
      </c>
      <c r="S43" s="2"/>
      <c r="T43" s="2">
        <v>100</v>
      </c>
      <c r="U43" s="3">
        <f t="shared" si="7"/>
        <v>28.5</v>
      </c>
      <c r="V43" s="2">
        <v>100</v>
      </c>
      <c r="W43" s="73">
        <f t="shared" si="8"/>
        <v>62.5</v>
      </c>
      <c r="X43" s="2">
        <v>560</v>
      </c>
      <c r="Y43" s="10"/>
      <c r="Z43" s="2"/>
      <c r="AA43" s="73">
        <f t="shared" si="13"/>
        <v>0</v>
      </c>
      <c r="AB43" s="2"/>
      <c r="AC43" s="10">
        <v>1660</v>
      </c>
      <c r="AD43" s="13">
        <f>AE43/C43</f>
        <v>0</v>
      </c>
      <c r="AE43" s="10"/>
      <c r="AF43" s="10">
        <f t="shared" si="1"/>
        <v>1660</v>
      </c>
      <c r="AG43" s="12">
        <f t="shared" si="9"/>
        <v>1037.5</v>
      </c>
      <c r="AH43" s="11">
        <f>G43*3.7+L43*3.7+Q43*4.2+V43*7.5</f>
        <v>2045</v>
      </c>
      <c r="AI43" s="12">
        <f t="shared" si="10"/>
        <v>1278.125</v>
      </c>
      <c r="AJ43" s="24">
        <v>37</v>
      </c>
      <c r="AK43" s="15" t="s">
        <v>76</v>
      </c>
    </row>
    <row r="44" spans="1:37" ht="26.25" customHeight="1" x14ac:dyDescent="0.25">
      <c r="A44" s="24">
        <v>38</v>
      </c>
      <c r="B44" s="66" t="s">
        <v>190</v>
      </c>
      <c r="C44" s="1"/>
      <c r="D44" s="1"/>
      <c r="E44" s="2"/>
      <c r="F44" s="3">
        <f t="shared" si="11"/>
        <v>0</v>
      </c>
      <c r="G44" s="2"/>
      <c r="H44" s="73" t="e">
        <f t="shared" si="2"/>
        <v>#DIV/0!</v>
      </c>
      <c r="I44" s="2"/>
      <c r="J44" s="2"/>
      <c r="K44" s="3"/>
      <c r="L44" s="2"/>
      <c r="M44" s="73"/>
      <c r="N44" s="2"/>
      <c r="O44" s="2"/>
      <c r="P44" s="3">
        <f t="shared" si="5"/>
        <v>0</v>
      </c>
      <c r="Q44" s="2"/>
      <c r="R44" s="76" t="e">
        <f t="shared" si="6"/>
        <v>#DIV/0!</v>
      </c>
      <c r="S44" s="2"/>
      <c r="T44" s="2"/>
      <c r="U44" s="3">
        <f t="shared" si="7"/>
        <v>0</v>
      </c>
      <c r="V44" s="2"/>
      <c r="W44" s="73" t="e">
        <f t="shared" si="8"/>
        <v>#DIV/0!</v>
      </c>
      <c r="X44" s="2"/>
      <c r="Y44" s="10"/>
      <c r="Z44" s="2"/>
      <c r="AA44" s="73" t="e">
        <f t="shared" si="13"/>
        <v>#DIV/0!</v>
      </c>
      <c r="AB44" s="2"/>
      <c r="AC44" s="10"/>
      <c r="AD44" s="13" t="e">
        <f>AE44/C44</f>
        <v>#DIV/0!</v>
      </c>
      <c r="AE44" s="10"/>
      <c r="AF44" s="10">
        <f t="shared" si="1"/>
        <v>0</v>
      </c>
      <c r="AG44" s="12" t="e">
        <f t="shared" si="9"/>
        <v>#DIV/0!</v>
      </c>
      <c r="AH44" s="11">
        <f>G44*3.7+L44*3.7+Q44*4.2+V44*7.5</f>
        <v>0</v>
      </c>
      <c r="AI44" s="12" t="e">
        <f t="shared" si="10"/>
        <v>#DIV/0!</v>
      </c>
      <c r="AJ44" s="24">
        <v>38</v>
      </c>
      <c r="AK44" s="15" t="s">
        <v>77</v>
      </c>
    </row>
    <row r="45" spans="1:37" ht="26.25" customHeight="1" x14ac:dyDescent="0.25">
      <c r="A45" s="24">
        <v>39</v>
      </c>
      <c r="B45" s="94" t="s">
        <v>84</v>
      </c>
      <c r="C45" s="1">
        <v>1.41</v>
      </c>
      <c r="D45" s="1">
        <v>591</v>
      </c>
      <c r="E45" s="2">
        <v>500</v>
      </c>
      <c r="F45" s="3">
        <f t="shared" si="11"/>
        <v>295.5</v>
      </c>
      <c r="G45" s="2">
        <v>500</v>
      </c>
      <c r="H45" s="73">
        <f t="shared" si="2"/>
        <v>354.6099290780142</v>
      </c>
      <c r="I45" s="2">
        <v>1500</v>
      </c>
      <c r="J45" s="2"/>
      <c r="K45" s="3">
        <f t="shared" si="3"/>
        <v>0</v>
      </c>
      <c r="L45" s="2"/>
      <c r="M45" s="73">
        <f t="shared" si="4"/>
        <v>0</v>
      </c>
      <c r="N45" s="2"/>
      <c r="O45" s="2">
        <v>70</v>
      </c>
      <c r="P45" s="3">
        <f>Q45*D45/1000</f>
        <v>41.37</v>
      </c>
      <c r="Q45" s="2">
        <v>70</v>
      </c>
      <c r="R45" s="76">
        <f t="shared" si="6"/>
        <v>49.645390070921991</v>
      </c>
      <c r="S45" s="2">
        <v>196</v>
      </c>
      <c r="T45" s="2">
        <v>70</v>
      </c>
      <c r="U45" s="3">
        <f t="shared" si="7"/>
        <v>41.37</v>
      </c>
      <c r="V45" s="2">
        <v>70</v>
      </c>
      <c r="W45" s="73">
        <f t="shared" si="8"/>
        <v>49.645390070921991</v>
      </c>
      <c r="X45" s="2">
        <v>364</v>
      </c>
      <c r="Y45" s="10" t="s">
        <v>163</v>
      </c>
      <c r="Z45" s="6" t="s">
        <v>121</v>
      </c>
      <c r="AA45" s="78" t="s">
        <v>122</v>
      </c>
      <c r="AB45" s="6" t="s">
        <v>147</v>
      </c>
      <c r="AC45" s="10">
        <v>2470</v>
      </c>
      <c r="AD45" s="13">
        <f t="shared" ref="AD45:AD66" si="16">AE45/C45</f>
        <v>0</v>
      </c>
      <c r="AE45" s="10"/>
      <c r="AF45" s="10">
        <f>I45+N45+S45+X45+AE45+410</f>
        <v>2470</v>
      </c>
      <c r="AG45" s="12">
        <f t="shared" si="9"/>
        <v>1751.7730496453901</v>
      </c>
      <c r="AH45" s="11">
        <f>G45*3.7+L45*3.7+Q45*4.2+V45*7.5+350+1100</f>
        <v>4119</v>
      </c>
      <c r="AI45" s="12">
        <f t="shared" si="10"/>
        <v>2921.2765957446809</v>
      </c>
      <c r="AJ45" s="24">
        <v>39</v>
      </c>
      <c r="AK45" s="26" t="s">
        <v>84</v>
      </c>
    </row>
    <row r="46" spans="1:37" x14ac:dyDescent="0.25">
      <c r="A46" s="24">
        <v>40</v>
      </c>
      <c r="B46" s="93" t="s">
        <v>125</v>
      </c>
      <c r="C46" s="1">
        <v>1.36</v>
      </c>
      <c r="D46" s="1">
        <v>399</v>
      </c>
      <c r="E46" s="2">
        <v>300</v>
      </c>
      <c r="F46" s="3">
        <f t="shared" si="11"/>
        <v>119.7</v>
      </c>
      <c r="G46" s="2">
        <v>300</v>
      </c>
      <c r="H46" s="73">
        <f>G46/C46</f>
        <v>220.58823529411762</v>
      </c>
      <c r="I46" s="2">
        <v>900</v>
      </c>
      <c r="J46" s="2"/>
      <c r="K46" s="3">
        <f t="shared" si="3"/>
        <v>0</v>
      </c>
      <c r="L46" s="2"/>
      <c r="M46" s="73">
        <f t="shared" si="4"/>
        <v>0</v>
      </c>
      <c r="N46" s="2"/>
      <c r="O46" s="2">
        <v>150</v>
      </c>
      <c r="P46" s="3">
        <f>Q46*D46/1000</f>
        <v>59.85</v>
      </c>
      <c r="Q46" s="2">
        <v>150</v>
      </c>
      <c r="R46" s="76">
        <f t="shared" si="6"/>
        <v>110.29411764705881</v>
      </c>
      <c r="S46" s="2">
        <v>450</v>
      </c>
      <c r="T46" s="2">
        <v>100</v>
      </c>
      <c r="U46" s="3">
        <f t="shared" si="7"/>
        <v>39.9</v>
      </c>
      <c r="V46" s="2">
        <v>100</v>
      </c>
      <c r="W46" s="73">
        <f t="shared" si="8"/>
        <v>73.529411764705884</v>
      </c>
      <c r="X46" s="2">
        <v>580</v>
      </c>
      <c r="Y46" s="10"/>
      <c r="Z46" s="2"/>
      <c r="AA46" s="73">
        <f t="shared" si="13"/>
        <v>0</v>
      </c>
      <c r="AB46" s="2"/>
      <c r="AC46" s="10">
        <v>1930</v>
      </c>
      <c r="AD46" s="13">
        <f t="shared" si="16"/>
        <v>0</v>
      </c>
      <c r="AE46" s="10"/>
      <c r="AF46" s="10">
        <f t="shared" si="1"/>
        <v>1930</v>
      </c>
      <c r="AG46" s="12">
        <f t="shared" si="9"/>
        <v>1419.1176470588234</v>
      </c>
      <c r="AH46" s="11">
        <f>G46*3.7+L46*3.7+Q46*4.2+V46*7.5</f>
        <v>2490</v>
      </c>
      <c r="AI46" s="12">
        <f t="shared" si="10"/>
        <v>1830.8823529411764</v>
      </c>
      <c r="AJ46" s="24">
        <v>40</v>
      </c>
      <c r="AK46" s="24" t="s">
        <v>125</v>
      </c>
    </row>
    <row r="47" spans="1:37" x14ac:dyDescent="0.25">
      <c r="A47" s="24">
        <v>41</v>
      </c>
      <c r="B47" s="93" t="s">
        <v>78</v>
      </c>
      <c r="C47" s="1">
        <v>3</v>
      </c>
      <c r="D47" s="1">
        <v>296</v>
      </c>
      <c r="E47" s="2">
        <v>1000</v>
      </c>
      <c r="F47" s="3">
        <f t="shared" si="11"/>
        <v>177.6</v>
      </c>
      <c r="G47" s="2">
        <v>600</v>
      </c>
      <c r="H47" s="73">
        <f t="shared" si="2"/>
        <v>200</v>
      </c>
      <c r="I47" s="2">
        <v>2300</v>
      </c>
      <c r="J47" s="2"/>
      <c r="K47" s="3">
        <f t="shared" si="3"/>
        <v>0</v>
      </c>
      <c r="L47" s="2"/>
      <c r="M47" s="73">
        <f t="shared" si="4"/>
        <v>0</v>
      </c>
      <c r="N47" s="2"/>
      <c r="O47" s="2"/>
      <c r="P47" s="3">
        <f t="shared" si="5"/>
        <v>0</v>
      </c>
      <c r="Q47" s="2"/>
      <c r="R47" s="76">
        <f t="shared" si="6"/>
        <v>0</v>
      </c>
      <c r="S47" s="2"/>
      <c r="T47" s="2">
        <v>100</v>
      </c>
      <c r="U47" s="3">
        <f t="shared" si="7"/>
        <v>29.6</v>
      </c>
      <c r="V47" s="2">
        <v>100</v>
      </c>
      <c r="W47" s="73">
        <f t="shared" si="8"/>
        <v>33.333333333333336</v>
      </c>
      <c r="X47" s="2">
        <v>700</v>
      </c>
      <c r="Y47" s="10"/>
      <c r="Z47" s="2"/>
      <c r="AA47" s="73">
        <f t="shared" si="13"/>
        <v>0</v>
      </c>
      <c r="AB47" s="2"/>
      <c r="AC47" s="10">
        <v>3000</v>
      </c>
      <c r="AD47" s="13">
        <f t="shared" si="16"/>
        <v>0</v>
      </c>
      <c r="AE47" s="10"/>
      <c r="AF47" s="10">
        <f t="shared" si="1"/>
        <v>3000</v>
      </c>
      <c r="AG47" s="12">
        <f t="shared" si="9"/>
        <v>1000</v>
      </c>
      <c r="AH47" s="11">
        <f>G47*3.7+L47*3.7+Q47*4.2+V47*7.5</f>
        <v>2970</v>
      </c>
      <c r="AI47" s="12">
        <f t="shared" si="10"/>
        <v>990</v>
      </c>
      <c r="AJ47" s="24">
        <v>41</v>
      </c>
      <c r="AK47" s="24" t="s">
        <v>78</v>
      </c>
    </row>
    <row r="48" spans="1:37" x14ac:dyDescent="0.25">
      <c r="A48" s="24">
        <v>42</v>
      </c>
      <c r="B48" s="93" t="s">
        <v>81</v>
      </c>
      <c r="C48" s="1">
        <v>1.7</v>
      </c>
      <c r="D48" s="1">
        <v>1419</v>
      </c>
      <c r="E48" s="2">
        <v>48</v>
      </c>
      <c r="F48" s="3">
        <f t="shared" si="11"/>
        <v>168.86099999999999</v>
      </c>
      <c r="G48" s="2">
        <v>119</v>
      </c>
      <c r="H48" s="73">
        <f t="shared" si="2"/>
        <v>70</v>
      </c>
      <c r="I48" s="2">
        <v>416.5</v>
      </c>
      <c r="J48" s="2"/>
      <c r="K48" s="3">
        <f t="shared" si="3"/>
        <v>55.341000000000001</v>
      </c>
      <c r="L48" s="2">
        <v>39</v>
      </c>
      <c r="M48" s="73">
        <f t="shared" si="4"/>
        <v>22.941176470588236</v>
      </c>
      <c r="N48" s="2">
        <v>136.5</v>
      </c>
      <c r="O48" s="2"/>
      <c r="P48" s="3">
        <f t="shared" si="5"/>
        <v>188.727</v>
      </c>
      <c r="Q48" s="2">
        <v>133</v>
      </c>
      <c r="R48" s="76">
        <f t="shared" si="6"/>
        <v>78.235294117647058</v>
      </c>
      <c r="S48" s="2">
        <v>400</v>
      </c>
      <c r="T48" s="2">
        <v>28</v>
      </c>
      <c r="U48" s="3">
        <f>V48*D48/1000</f>
        <v>55.341000000000001</v>
      </c>
      <c r="V48" s="2">
        <v>39</v>
      </c>
      <c r="W48" s="73">
        <f t="shared" si="8"/>
        <v>22.941176470588236</v>
      </c>
      <c r="X48" s="2">
        <v>314.8</v>
      </c>
      <c r="Y48" s="10" t="s">
        <v>154</v>
      </c>
      <c r="Z48" s="6">
        <v>102.6</v>
      </c>
      <c r="AA48" s="73">
        <f t="shared" si="13"/>
        <v>60.352941176470587</v>
      </c>
      <c r="AB48" s="6"/>
      <c r="AC48" s="10">
        <v>392</v>
      </c>
      <c r="AD48" s="13">
        <f t="shared" si="16"/>
        <v>0</v>
      </c>
      <c r="AE48" s="10"/>
      <c r="AF48" s="10">
        <f>I48+N48+S48+X48+AB48+AE48</f>
        <v>1267.8</v>
      </c>
      <c r="AG48" s="12">
        <f>AF48/C48</f>
        <v>745.76470588235293</v>
      </c>
      <c r="AH48" s="11">
        <f>G48*3.7+L48*3.7+Q48*4.2+V48*7.5+412</f>
        <v>1847.7</v>
      </c>
      <c r="AI48" s="12">
        <f t="shared" si="10"/>
        <v>1086.8823529411766</v>
      </c>
      <c r="AJ48" s="24">
        <v>42</v>
      </c>
      <c r="AK48" s="24" t="s">
        <v>81</v>
      </c>
    </row>
    <row r="49" spans="1:37" x14ac:dyDescent="0.25">
      <c r="A49" s="24">
        <v>43</v>
      </c>
      <c r="B49" s="39" t="s">
        <v>82</v>
      </c>
      <c r="C49" s="1">
        <v>2.14</v>
      </c>
      <c r="D49" s="1">
        <v>351</v>
      </c>
      <c r="E49" s="2">
        <v>350</v>
      </c>
      <c r="F49" s="3">
        <f>G49*D49/1000</f>
        <v>122.85</v>
      </c>
      <c r="G49" s="2">
        <v>350</v>
      </c>
      <c r="H49" s="73">
        <f>G49/C49</f>
        <v>163.55140186915887</v>
      </c>
      <c r="I49" s="2">
        <v>1120</v>
      </c>
      <c r="J49" s="2"/>
      <c r="K49" s="3">
        <f t="shared" si="3"/>
        <v>0</v>
      </c>
      <c r="L49" s="2"/>
      <c r="M49" s="73">
        <f t="shared" si="4"/>
        <v>0</v>
      </c>
      <c r="N49" s="2"/>
      <c r="O49" s="2">
        <v>100</v>
      </c>
      <c r="P49" s="3">
        <f t="shared" si="5"/>
        <v>35.1</v>
      </c>
      <c r="Q49" s="2">
        <v>100</v>
      </c>
      <c r="R49" s="76">
        <f t="shared" si="6"/>
        <v>46.728971962616818</v>
      </c>
      <c r="S49" s="2">
        <v>400</v>
      </c>
      <c r="T49" s="2">
        <v>50</v>
      </c>
      <c r="U49" s="3">
        <f t="shared" si="7"/>
        <v>17.55</v>
      </c>
      <c r="V49" s="2">
        <v>50</v>
      </c>
      <c r="W49" s="73">
        <f t="shared" si="8"/>
        <v>23.364485981308409</v>
      </c>
      <c r="X49" s="2">
        <v>350</v>
      </c>
      <c r="Y49" s="10" t="s">
        <v>137</v>
      </c>
      <c r="Z49" s="6"/>
      <c r="AA49" s="73">
        <f t="shared" si="13"/>
        <v>0</v>
      </c>
      <c r="AB49" s="6">
        <v>300</v>
      </c>
      <c r="AC49" s="10">
        <v>2170</v>
      </c>
      <c r="AD49" s="13">
        <f t="shared" si="16"/>
        <v>0</v>
      </c>
      <c r="AE49" s="10"/>
      <c r="AF49" s="10">
        <f t="shared" si="1"/>
        <v>2170</v>
      </c>
      <c r="AG49" s="12">
        <f t="shared" si="9"/>
        <v>1014.018691588785</v>
      </c>
      <c r="AH49" s="11">
        <f>G49*3.7+L49*3.7+Q49*4.2+V49*7.5+AB49</f>
        <v>2390</v>
      </c>
      <c r="AI49" s="12">
        <f t="shared" si="10"/>
        <v>1116.8224299065421</v>
      </c>
      <c r="AJ49" s="24">
        <v>43</v>
      </c>
      <c r="AK49" s="15" t="s">
        <v>82</v>
      </c>
    </row>
    <row r="50" spans="1:37" ht="16.5" customHeight="1" x14ac:dyDescent="0.25">
      <c r="A50" s="24">
        <v>44</v>
      </c>
      <c r="B50" s="92" t="s">
        <v>192</v>
      </c>
      <c r="C50" s="1">
        <v>1.6</v>
      </c>
      <c r="D50" s="1">
        <v>388</v>
      </c>
      <c r="E50" s="2">
        <v>500</v>
      </c>
      <c r="F50" s="3">
        <f t="shared" si="11"/>
        <v>145.5</v>
      </c>
      <c r="G50" s="4">
        <v>375</v>
      </c>
      <c r="H50" s="4">
        <f t="shared" si="2"/>
        <v>234.375</v>
      </c>
      <c r="I50" s="4">
        <v>1312</v>
      </c>
      <c r="J50" s="2"/>
      <c r="K50" s="3">
        <f t="shared" si="3"/>
        <v>0</v>
      </c>
      <c r="L50" s="4"/>
      <c r="M50" s="4">
        <f t="shared" si="4"/>
        <v>0</v>
      </c>
      <c r="N50" s="4"/>
      <c r="O50" s="2"/>
      <c r="P50" s="3">
        <f t="shared" si="5"/>
        <v>0</v>
      </c>
      <c r="Q50" s="4"/>
      <c r="R50" s="5">
        <f t="shared" si="6"/>
        <v>0</v>
      </c>
      <c r="S50" s="4"/>
      <c r="T50" s="2"/>
      <c r="U50" s="3">
        <f t="shared" si="7"/>
        <v>0</v>
      </c>
      <c r="V50" s="4"/>
      <c r="W50" s="4">
        <f t="shared" si="8"/>
        <v>0</v>
      </c>
      <c r="X50" s="4"/>
      <c r="Y50" s="10" t="s">
        <v>133</v>
      </c>
      <c r="Z50" s="2">
        <v>15</v>
      </c>
      <c r="AA50" s="4">
        <f t="shared" si="13"/>
        <v>9.375</v>
      </c>
      <c r="AB50" s="10">
        <v>300</v>
      </c>
      <c r="AC50" s="10"/>
      <c r="AD50" s="13">
        <f t="shared" si="16"/>
        <v>0</v>
      </c>
      <c r="AE50" s="10"/>
      <c r="AF50" s="10">
        <f t="shared" si="1"/>
        <v>1612</v>
      </c>
      <c r="AG50" s="12">
        <f>AF50/C50</f>
        <v>1007.5</v>
      </c>
      <c r="AH50" s="11">
        <f>G50*3.7+L50*3.7+Q50*4.2+V50*7.5</f>
        <v>1387.5</v>
      </c>
      <c r="AI50" s="12">
        <f t="shared" si="10"/>
        <v>867.1875</v>
      </c>
      <c r="AJ50" s="24">
        <v>44</v>
      </c>
      <c r="AK50" s="15" t="s">
        <v>85</v>
      </c>
    </row>
    <row r="51" spans="1:37" x14ac:dyDescent="0.25">
      <c r="A51" s="24">
        <v>45</v>
      </c>
      <c r="B51" s="39" t="s">
        <v>117</v>
      </c>
      <c r="C51" s="1">
        <v>3.01</v>
      </c>
      <c r="D51" s="1">
        <v>115</v>
      </c>
      <c r="E51" s="2">
        <v>600</v>
      </c>
      <c r="F51" s="3">
        <f t="shared" si="11"/>
        <v>0</v>
      </c>
      <c r="G51" s="4"/>
      <c r="H51" s="73">
        <f t="shared" si="2"/>
        <v>0</v>
      </c>
      <c r="I51" s="4"/>
      <c r="J51" s="2"/>
      <c r="K51" s="3">
        <f t="shared" si="3"/>
        <v>0</v>
      </c>
      <c r="L51" s="4"/>
      <c r="M51" s="73">
        <f t="shared" si="4"/>
        <v>0</v>
      </c>
      <c r="N51" s="4"/>
      <c r="O51" s="2"/>
      <c r="P51" s="3">
        <f t="shared" si="5"/>
        <v>0</v>
      </c>
      <c r="Q51" s="4"/>
      <c r="R51" s="76">
        <f t="shared" si="6"/>
        <v>0</v>
      </c>
      <c r="S51" s="4"/>
      <c r="T51" s="2">
        <v>600</v>
      </c>
      <c r="U51" s="3"/>
      <c r="V51" s="4"/>
      <c r="W51" s="73"/>
      <c r="X51" s="4"/>
      <c r="Y51" s="10" t="s">
        <v>137</v>
      </c>
      <c r="Z51" s="2"/>
      <c r="AA51" s="73">
        <f t="shared" si="13"/>
        <v>0</v>
      </c>
      <c r="AB51" s="10">
        <v>3010</v>
      </c>
      <c r="AC51" s="44">
        <v>345300</v>
      </c>
      <c r="AD51" s="13">
        <f>AE51/C51</f>
        <v>0</v>
      </c>
      <c r="AE51" s="10"/>
      <c r="AF51" s="10">
        <f t="shared" si="1"/>
        <v>3010</v>
      </c>
      <c r="AG51" s="12">
        <f>AF51/C51</f>
        <v>1000.0000000000001</v>
      </c>
      <c r="AH51" s="11">
        <f>G51*3.7+L51*3.7+Q51*4.2+V51*7.5+AE51+AB51</f>
        <v>3010</v>
      </c>
      <c r="AI51" s="12">
        <f t="shared" si="10"/>
        <v>1000.0000000000001</v>
      </c>
      <c r="AJ51" s="24">
        <v>45</v>
      </c>
      <c r="AK51" s="15" t="s">
        <v>117</v>
      </c>
    </row>
    <row r="52" spans="1:37" ht="24.75" customHeight="1" x14ac:dyDescent="0.25">
      <c r="A52" s="24">
        <v>46</v>
      </c>
      <c r="B52" s="66" t="s">
        <v>168</v>
      </c>
      <c r="C52" s="1"/>
      <c r="D52" s="1"/>
      <c r="E52" s="2"/>
      <c r="F52" s="3">
        <f>G52*D52/1000</f>
        <v>0</v>
      </c>
      <c r="G52" s="4"/>
      <c r="H52" s="73" t="e">
        <f>G52/C52</f>
        <v>#DIV/0!</v>
      </c>
      <c r="I52" s="4"/>
      <c r="J52" s="2"/>
      <c r="K52" s="3">
        <f>L52*D52/1000</f>
        <v>0</v>
      </c>
      <c r="L52" s="4"/>
      <c r="M52" s="73" t="e">
        <f t="shared" si="4"/>
        <v>#DIV/0!</v>
      </c>
      <c r="N52" s="4"/>
      <c r="O52" s="2"/>
      <c r="P52" s="3">
        <f>Q52*D52/1000</f>
        <v>0</v>
      </c>
      <c r="Q52" s="4"/>
      <c r="R52" s="76" t="e">
        <f>Q52/C52</f>
        <v>#DIV/0!</v>
      </c>
      <c r="S52" s="4"/>
      <c r="T52" s="2"/>
      <c r="U52" s="3">
        <f>V52*D52/1000</f>
        <v>0</v>
      </c>
      <c r="V52" s="4"/>
      <c r="W52" s="73" t="e">
        <f>V52/C52</f>
        <v>#DIV/0!</v>
      </c>
      <c r="X52" s="4"/>
      <c r="Y52" s="10"/>
      <c r="Z52" s="2"/>
      <c r="AA52" s="73" t="e">
        <f t="shared" si="13"/>
        <v>#DIV/0!</v>
      </c>
      <c r="AB52" s="10"/>
      <c r="AC52" s="10"/>
      <c r="AD52" s="13" t="e">
        <f>AE52/C52</f>
        <v>#DIV/0!</v>
      </c>
      <c r="AE52" s="10"/>
      <c r="AF52" s="10">
        <f t="shared" si="1"/>
        <v>0</v>
      </c>
      <c r="AG52" s="12" t="e">
        <f t="shared" ref="AG52:AG109" si="17">AF52/C52</f>
        <v>#DIV/0!</v>
      </c>
      <c r="AH52" s="11">
        <f>G52*3.7+L52*3.7+Q52*4.2+V52*7.5</f>
        <v>0</v>
      </c>
      <c r="AI52" s="12" t="e">
        <f t="shared" si="10"/>
        <v>#DIV/0!</v>
      </c>
      <c r="AJ52" s="24">
        <v>47</v>
      </c>
      <c r="AK52" s="15" t="s">
        <v>120</v>
      </c>
    </row>
    <row r="53" spans="1:37" x14ac:dyDescent="0.25">
      <c r="A53" s="24">
        <v>47</v>
      </c>
      <c r="B53" s="39" t="s">
        <v>119</v>
      </c>
      <c r="C53" s="1">
        <v>1.4</v>
      </c>
      <c r="D53" s="1">
        <v>37</v>
      </c>
      <c r="E53" s="2">
        <v>670</v>
      </c>
      <c r="F53" s="3">
        <f t="shared" si="11"/>
        <v>24.79</v>
      </c>
      <c r="G53" s="4">
        <v>670</v>
      </c>
      <c r="H53" s="73">
        <f t="shared" ref="H53:H62" si="18">G53/C53</f>
        <v>478.57142857142861</v>
      </c>
      <c r="I53" s="4">
        <v>1474</v>
      </c>
      <c r="J53" s="2"/>
      <c r="K53" s="3">
        <f t="shared" si="3"/>
        <v>0</v>
      </c>
      <c r="L53" s="4"/>
      <c r="M53" s="73">
        <f t="shared" si="4"/>
        <v>0</v>
      </c>
      <c r="N53" s="4"/>
      <c r="O53" s="2"/>
      <c r="P53" s="3">
        <f t="shared" si="5"/>
        <v>0</v>
      </c>
      <c r="Q53" s="4"/>
      <c r="R53" s="76">
        <f t="shared" si="6"/>
        <v>0</v>
      </c>
      <c r="S53" s="4"/>
      <c r="T53" s="2">
        <v>100</v>
      </c>
      <c r="U53" s="3">
        <f t="shared" ref="U53:U76" si="19">V53*D53/1000</f>
        <v>3.7</v>
      </c>
      <c r="V53" s="4">
        <v>100</v>
      </c>
      <c r="W53" s="73">
        <f t="shared" ref="W53:W76" si="20">V53/C53</f>
        <v>71.428571428571431</v>
      </c>
      <c r="X53" s="4">
        <v>600</v>
      </c>
      <c r="Y53" s="10" t="s">
        <v>148</v>
      </c>
      <c r="Z53" s="2">
        <v>300</v>
      </c>
      <c r="AA53" s="73">
        <f t="shared" si="13"/>
        <v>214.28571428571431</v>
      </c>
      <c r="AB53" s="10">
        <v>300</v>
      </c>
      <c r="AC53" s="10">
        <v>2374</v>
      </c>
      <c r="AD53" s="13">
        <f t="shared" si="16"/>
        <v>0</v>
      </c>
      <c r="AE53" s="10"/>
      <c r="AF53" s="13">
        <f>I53+N53+S53+X53+AB53+AE53</f>
        <v>2374</v>
      </c>
      <c r="AG53" s="12">
        <f t="shared" si="17"/>
        <v>1695.7142857142858</v>
      </c>
      <c r="AH53" s="11">
        <f>G53*3.7+L53*3.7+Q53*4.2+V53*7.5+Z53*1</f>
        <v>3529</v>
      </c>
      <c r="AI53" s="12">
        <f t="shared" si="10"/>
        <v>2520.7142857142858</v>
      </c>
      <c r="AJ53" s="24">
        <v>48</v>
      </c>
      <c r="AK53" s="15" t="s">
        <v>119</v>
      </c>
    </row>
    <row r="54" spans="1:37" x14ac:dyDescent="0.25">
      <c r="A54" s="24">
        <v>48</v>
      </c>
      <c r="B54" s="39" t="s">
        <v>127</v>
      </c>
      <c r="C54" s="1">
        <v>1.6</v>
      </c>
      <c r="D54" s="1">
        <v>364</v>
      </c>
      <c r="E54" s="2">
        <v>900</v>
      </c>
      <c r="F54" s="3">
        <f t="shared" si="11"/>
        <v>136.5</v>
      </c>
      <c r="G54" s="4">
        <v>375</v>
      </c>
      <c r="H54" s="73">
        <f t="shared" si="18"/>
        <v>234.375</v>
      </c>
      <c r="I54" s="4">
        <v>1310</v>
      </c>
      <c r="J54" s="2"/>
      <c r="K54" s="3">
        <f t="shared" si="3"/>
        <v>0</v>
      </c>
      <c r="L54" s="4"/>
      <c r="M54" s="73">
        <f t="shared" si="4"/>
        <v>0</v>
      </c>
      <c r="N54" s="4"/>
      <c r="O54" s="2"/>
      <c r="P54" s="3"/>
      <c r="Q54" s="4"/>
      <c r="R54" s="76">
        <f t="shared" si="6"/>
        <v>0</v>
      </c>
      <c r="S54" s="4"/>
      <c r="T54" s="2"/>
      <c r="U54" s="3">
        <f t="shared" si="19"/>
        <v>0</v>
      </c>
      <c r="V54" s="4"/>
      <c r="W54" s="73">
        <f t="shared" si="20"/>
        <v>0</v>
      </c>
      <c r="X54" s="4"/>
      <c r="Y54" s="10" t="s">
        <v>133</v>
      </c>
      <c r="Z54" s="2">
        <v>15</v>
      </c>
      <c r="AA54" s="73">
        <f>Z54/C54</f>
        <v>9.375</v>
      </c>
      <c r="AB54" s="10">
        <v>300</v>
      </c>
      <c r="AC54" s="10">
        <v>1610</v>
      </c>
      <c r="AD54" s="13">
        <f t="shared" si="16"/>
        <v>0</v>
      </c>
      <c r="AE54" s="10"/>
      <c r="AF54" s="13">
        <f>I54+N54+S54+X54+AB54+AE54</f>
        <v>1610</v>
      </c>
      <c r="AG54" s="12">
        <f t="shared" si="17"/>
        <v>1006.25</v>
      </c>
      <c r="AH54" s="11">
        <f>G54*3.7+L54*3.7+Q54*4.2+V54*7.5+Z54*20</f>
        <v>1687.5</v>
      </c>
      <c r="AI54" s="12">
        <f t="shared" si="10"/>
        <v>1054.6875</v>
      </c>
      <c r="AJ54" s="24"/>
      <c r="AK54" s="15" t="s">
        <v>127</v>
      </c>
    </row>
    <row r="55" spans="1:37" x14ac:dyDescent="0.25">
      <c r="A55" s="24">
        <v>49</v>
      </c>
      <c r="B55" s="39" t="s">
        <v>131</v>
      </c>
      <c r="C55" s="1">
        <v>4.2</v>
      </c>
      <c r="D55" s="1">
        <v>6</v>
      </c>
      <c r="E55" s="2"/>
      <c r="F55" s="3">
        <f t="shared" si="11"/>
        <v>0</v>
      </c>
      <c r="G55" s="4"/>
      <c r="H55" s="73">
        <f t="shared" si="18"/>
        <v>0</v>
      </c>
      <c r="I55" s="4"/>
      <c r="J55" s="2"/>
      <c r="K55" s="3">
        <f t="shared" si="3"/>
        <v>0</v>
      </c>
      <c r="L55" s="4"/>
      <c r="M55" s="73">
        <f t="shared" si="4"/>
        <v>0</v>
      </c>
      <c r="N55" s="4"/>
      <c r="O55" s="2"/>
      <c r="P55" s="3">
        <f t="shared" si="5"/>
        <v>0</v>
      </c>
      <c r="Q55" s="4"/>
      <c r="R55" s="76">
        <f t="shared" si="6"/>
        <v>0</v>
      </c>
      <c r="S55" s="4"/>
      <c r="T55" s="2"/>
      <c r="U55" s="3">
        <f t="shared" si="19"/>
        <v>0</v>
      </c>
      <c r="V55" s="4"/>
      <c r="W55" s="73">
        <f t="shared" si="20"/>
        <v>0</v>
      </c>
      <c r="X55" s="4"/>
      <c r="Y55" s="10" t="s">
        <v>137</v>
      </c>
      <c r="Z55" s="2"/>
      <c r="AA55" s="73">
        <f t="shared" si="13"/>
        <v>0</v>
      </c>
      <c r="AB55" s="10">
        <v>2000</v>
      </c>
      <c r="AC55" s="10">
        <v>12000</v>
      </c>
      <c r="AD55" s="13">
        <f t="shared" si="16"/>
        <v>0</v>
      </c>
      <c r="AE55" s="10"/>
      <c r="AF55" s="10">
        <f t="shared" si="1"/>
        <v>2000</v>
      </c>
      <c r="AG55" s="12">
        <f>AF55/C55</f>
        <v>476.19047619047615</v>
      </c>
      <c r="AH55" s="11">
        <f>G55*3.7+L55*3.7+Q55*4.2+V55*7.5+AB55</f>
        <v>2000</v>
      </c>
      <c r="AI55" s="12">
        <f t="shared" si="10"/>
        <v>476.19047619047615</v>
      </c>
      <c r="AJ55" s="24"/>
      <c r="AK55" s="15" t="s">
        <v>131</v>
      </c>
    </row>
    <row r="56" spans="1:37" x14ac:dyDescent="0.25">
      <c r="A56" s="24">
        <v>50</v>
      </c>
      <c r="B56" s="39" t="s">
        <v>164</v>
      </c>
      <c r="C56" s="1">
        <v>2.6</v>
      </c>
      <c r="D56" s="1">
        <v>96</v>
      </c>
      <c r="E56" s="2">
        <v>650</v>
      </c>
      <c r="F56" s="3">
        <f>G56*D56/1000</f>
        <v>0</v>
      </c>
      <c r="G56" s="4"/>
      <c r="H56" s="73">
        <f>G56/C56</f>
        <v>0</v>
      </c>
      <c r="I56" s="4"/>
      <c r="J56" s="2"/>
      <c r="K56" s="3">
        <f>L56*D56/1000</f>
        <v>0</v>
      </c>
      <c r="L56" s="4"/>
      <c r="M56" s="73">
        <f t="shared" si="4"/>
        <v>0</v>
      </c>
      <c r="N56" s="4"/>
      <c r="O56" s="2">
        <v>650</v>
      </c>
      <c r="P56" s="3">
        <f>Q56*D56/1000</f>
        <v>29.952000000000002</v>
      </c>
      <c r="Q56" s="4">
        <v>312</v>
      </c>
      <c r="R56" s="76">
        <f>Q56/C56</f>
        <v>120</v>
      </c>
      <c r="S56" s="4">
        <v>1248</v>
      </c>
      <c r="T56" s="2">
        <v>130</v>
      </c>
      <c r="U56" s="3">
        <f>V56*D56/1000</f>
        <v>9.984</v>
      </c>
      <c r="V56" s="4">
        <v>104</v>
      </c>
      <c r="W56" s="73">
        <f>V56/C56</f>
        <v>40</v>
      </c>
      <c r="X56" s="4">
        <v>832</v>
      </c>
      <c r="Y56" s="10"/>
      <c r="Z56" s="2"/>
      <c r="AA56" s="73">
        <f>Z56/C56</f>
        <v>0</v>
      </c>
      <c r="AB56" s="10"/>
      <c r="AC56" s="10">
        <v>3770</v>
      </c>
      <c r="AD56" s="13"/>
      <c r="AE56" s="10"/>
      <c r="AF56" s="10">
        <f>I56+N56+S56+X56+AB56+AE56</f>
        <v>2080</v>
      </c>
      <c r="AG56" s="12">
        <f>AF56/C56</f>
        <v>800</v>
      </c>
      <c r="AH56" s="11">
        <f>G56*3.7+L56*3.7+Q56*4.2+V56*7.5</f>
        <v>2090.4</v>
      </c>
      <c r="AI56" s="12">
        <f>AH56/C56</f>
        <v>804</v>
      </c>
      <c r="AJ56" s="24"/>
      <c r="AK56" s="39" t="s">
        <v>164</v>
      </c>
    </row>
    <row r="57" spans="1:37" ht="15.75" customHeight="1" x14ac:dyDescent="0.25">
      <c r="A57" s="24">
        <v>51</v>
      </c>
      <c r="B57" s="95" t="s">
        <v>129</v>
      </c>
      <c r="C57" s="1">
        <v>2.14</v>
      </c>
      <c r="D57" s="1">
        <v>150</v>
      </c>
      <c r="E57" s="2"/>
      <c r="F57" s="3">
        <f t="shared" si="11"/>
        <v>45</v>
      </c>
      <c r="G57" s="4">
        <v>300</v>
      </c>
      <c r="H57" s="73">
        <f>G57/C57</f>
        <v>140.18691588785046</v>
      </c>
      <c r="I57" s="4">
        <v>900</v>
      </c>
      <c r="J57" s="2"/>
      <c r="K57" s="3">
        <f t="shared" si="3"/>
        <v>0</v>
      </c>
      <c r="L57" s="4"/>
      <c r="M57" s="73">
        <f t="shared" si="4"/>
        <v>0</v>
      </c>
      <c r="N57" s="4"/>
      <c r="O57" s="2"/>
      <c r="P57" s="3">
        <f t="shared" si="5"/>
        <v>0</v>
      </c>
      <c r="Q57" s="4"/>
      <c r="R57" s="76">
        <f t="shared" si="6"/>
        <v>0</v>
      </c>
      <c r="S57" s="4"/>
      <c r="T57" s="2"/>
      <c r="U57" s="3">
        <f t="shared" si="19"/>
        <v>15</v>
      </c>
      <c r="V57" s="4">
        <v>100</v>
      </c>
      <c r="W57" s="73">
        <f t="shared" si="20"/>
        <v>46.728971962616818</v>
      </c>
      <c r="X57" s="4">
        <v>700</v>
      </c>
      <c r="Y57" s="10"/>
      <c r="Z57" s="2"/>
      <c r="AA57" s="73">
        <f t="shared" si="13"/>
        <v>0</v>
      </c>
      <c r="AB57" s="10"/>
      <c r="AC57" s="10"/>
      <c r="AD57" s="13"/>
      <c r="AE57" s="10"/>
      <c r="AF57" s="10">
        <f t="shared" si="1"/>
        <v>1600</v>
      </c>
      <c r="AG57" s="12">
        <f t="shared" si="17"/>
        <v>747.66355140186909</v>
      </c>
      <c r="AH57" s="11">
        <f>G57*3.7+L57*3.7+Q57*4.2+V57*7.5+Z57*4</f>
        <v>1860</v>
      </c>
      <c r="AI57" s="12">
        <f t="shared" si="10"/>
        <v>869.15887850467288</v>
      </c>
      <c r="AJ57" s="24"/>
      <c r="AK57" s="15" t="s">
        <v>129</v>
      </c>
    </row>
    <row r="58" spans="1:37" x14ac:dyDescent="0.25">
      <c r="A58" s="24">
        <v>52</v>
      </c>
      <c r="B58" s="39" t="s">
        <v>136</v>
      </c>
      <c r="C58" s="1">
        <v>2.4700000000000002</v>
      </c>
      <c r="D58" s="1">
        <v>19</v>
      </c>
      <c r="E58" s="2"/>
      <c r="F58" s="3">
        <f t="shared" si="11"/>
        <v>0</v>
      </c>
      <c r="G58" s="4"/>
      <c r="H58" s="73">
        <f t="shared" si="18"/>
        <v>0</v>
      </c>
      <c r="I58" s="4"/>
      <c r="J58" s="2"/>
      <c r="K58" s="3">
        <f t="shared" si="3"/>
        <v>0</v>
      </c>
      <c r="L58" s="4"/>
      <c r="M58" s="73">
        <f t="shared" si="4"/>
        <v>0</v>
      </c>
      <c r="N58" s="4"/>
      <c r="O58" s="2"/>
      <c r="P58" s="3">
        <f t="shared" si="5"/>
        <v>0</v>
      </c>
      <c r="Q58" s="4"/>
      <c r="R58" s="76">
        <f t="shared" si="6"/>
        <v>0</v>
      </c>
      <c r="S58" s="4"/>
      <c r="T58" s="2"/>
      <c r="U58" s="3">
        <f t="shared" si="19"/>
        <v>0</v>
      </c>
      <c r="V58" s="4"/>
      <c r="W58" s="73">
        <f t="shared" si="20"/>
        <v>0</v>
      </c>
      <c r="X58" s="4"/>
      <c r="Y58" s="10" t="s">
        <v>137</v>
      </c>
      <c r="Z58" s="2"/>
      <c r="AA58" s="73">
        <f t="shared" si="13"/>
        <v>0</v>
      </c>
      <c r="AB58" s="10">
        <v>3455</v>
      </c>
      <c r="AC58" s="10">
        <v>61141</v>
      </c>
      <c r="AD58" s="13"/>
      <c r="AE58" s="10"/>
      <c r="AF58" s="10">
        <f t="shared" si="1"/>
        <v>3455</v>
      </c>
      <c r="AG58" s="12">
        <f t="shared" si="17"/>
        <v>1398.7854251012145</v>
      </c>
      <c r="AH58" s="11">
        <f>G58*3.7+L58*3.7+Q58*4.2+V58*7.5+AB58</f>
        <v>3455</v>
      </c>
      <c r="AI58" s="12">
        <f t="shared" si="10"/>
        <v>1398.7854251012145</v>
      </c>
      <c r="AJ58" s="24"/>
      <c r="AK58" s="15" t="s">
        <v>136</v>
      </c>
    </row>
    <row r="59" spans="1:37" x14ac:dyDescent="0.25">
      <c r="A59" s="24">
        <v>53</v>
      </c>
      <c r="B59" s="39" t="s">
        <v>130</v>
      </c>
      <c r="C59" s="1">
        <v>0.3</v>
      </c>
      <c r="D59" s="1">
        <v>187</v>
      </c>
      <c r="E59" s="2">
        <v>100</v>
      </c>
      <c r="F59" s="3">
        <f>G59*D59/1000</f>
        <v>18.7</v>
      </c>
      <c r="G59" s="4">
        <v>100</v>
      </c>
      <c r="H59" s="73">
        <f>G59/C59</f>
        <v>333.33333333333337</v>
      </c>
      <c r="I59" s="4">
        <v>300</v>
      </c>
      <c r="J59" s="2">
        <v>20</v>
      </c>
      <c r="K59" s="3">
        <f t="shared" si="3"/>
        <v>0</v>
      </c>
      <c r="L59" s="4"/>
      <c r="M59" s="73">
        <f t="shared" si="4"/>
        <v>0</v>
      </c>
      <c r="N59" s="4"/>
      <c r="O59" s="2"/>
      <c r="P59" s="3">
        <f t="shared" si="5"/>
        <v>0</v>
      </c>
      <c r="Q59" s="4"/>
      <c r="R59" s="76">
        <f t="shared" si="6"/>
        <v>0</v>
      </c>
      <c r="S59" s="4"/>
      <c r="T59" s="2">
        <v>20</v>
      </c>
      <c r="U59" s="3">
        <f t="shared" si="19"/>
        <v>0</v>
      </c>
      <c r="V59" s="4"/>
      <c r="W59" s="73">
        <f t="shared" si="20"/>
        <v>0</v>
      </c>
      <c r="X59" s="4"/>
      <c r="Y59" s="10"/>
      <c r="Z59" s="2"/>
      <c r="AA59" s="73">
        <f t="shared" si="13"/>
        <v>0</v>
      </c>
      <c r="AB59" s="10"/>
      <c r="AC59" s="10">
        <v>320</v>
      </c>
      <c r="AD59" s="13"/>
      <c r="AE59" s="10"/>
      <c r="AF59" s="10">
        <f t="shared" si="1"/>
        <v>300</v>
      </c>
      <c r="AG59" s="12">
        <f t="shared" si="17"/>
        <v>1000</v>
      </c>
      <c r="AH59" s="11">
        <f>G59*3.7+L59*3.7+Q59*4.2+V59*7.5</f>
        <v>370</v>
      </c>
      <c r="AI59" s="12">
        <f t="shared" si="10"/>
        <v>1233.3333333333335</v>
      </c>
      <c r="AJ59" s="24"/>
      <c r="AK59" s="15" t="s">
        <v>130</v>
      </c>
    </row>
    <row r="60" spans="1:37" ht="24" customHeight="1" x14ac:dyDescent="0.25">
      <c r="A60" s="24">
        <v>54</v>
      </c>
      <c r="B60" s="66" t="s">
        <v>169</v>
      </c>
      <c r="C60" s="1"/>
      <c r="D60" s="1"/>
      <c r="E60" s="2"/>
      <c r="F60" s="3">
        <f t="shared" si="11"/>
        <v>0</v>
      </c>
      <c r="G60" s="4"/>
      <c r="H60" s="73" t="e">
        <f t="shared" si="18"/>
        <v>#DIV/0!</v>
      </c>
      <c r="I60" s="4"/>
      <c r="J60" s="2"/>
      <c r="K60" s="3">
        <f t="shared" si="3"/>
        <v>0</v>
      </c>
      <c r="L60" s="4"/>
      <c r="M60" s="73" t="e">
        <f t="shared" si="4"/>
        <v>#DIV/0!</v>
      </c>
      <c r="N60" s="4"/>
      <c r="O60" s="2"/>
      <c r="P60" s="3">
        <f t="shared" si="5"/>
        <v>0</v>
      </c>
      <c r="Q60" s="4"/>
      <c r="R60" s="76" t="e">
        <f t="shared" si="6"/>
        <v>#DIV/0!</v>
      </c>
      <c r="S60" s="4"/>
      <c r="T60" s="2"/>
      <c r="U60" s="3">
        <f t="shared" si="19"/>
        <v>0</v>
      </c>
      <c r="V60" s="4"/>
      <c r="W60" s="73" t="e">
        <f t="shared" si="20"/>
        <v>#DIV/0!</v>
      </c>
      <c r="X60" s="4"/>
      <c r="Y60" s="10"/>
      <c r="Z60" s="2"/>
      <c r="AA60" s="73" t="e">
        <f t="shared" si="13"/>
        <v>#DIV/0!</v>
      </c>
      <c r="AB60" s="10"/>
      <c r="AC60" s="10"/>
      <c r="AD60" s="13"/>
      <c r="AE60" s="10"/>
      <c r="AF60" s="10">
        <f t="shared" si="1"/>
        <v>0</v>
      </c>
      <c r="AG60" s="12" t="e">
        <f t="shared" si="17"/>
        <v>#DIV/0!</v>
      </c>
      <c r="AH60" s="11">
        <f>G60*3.7+L60*3.7+Q60*4.2+V60*7.5+AE60</f>
        <v>0</v>
      </c>
      <c r="AI60" s="12" t="e">
        <f t="shared" si="10"/>
        <v>#DIV/0!</v>
      </c>
      <c r="AJ60" s="24"/>
      <c r="AK60" s="15" t="s">
        <v>140</v>
      </c>
    </row>
    <row r="61" spans="1:37" ht="24" customHeight="1" x14ac:dyDescent="0.25">
      <c r="A61" s="24">
        <v>55</v>
      </c>
      <c r="B61" s="66" t="s">
        <v>170</v>
      </c>
      <c r="C61" s="1"/>
      <c r="D61" s="1"/>
      <c r="E61" s="2"/>
      <c r="F61" s="3">
        <f t="shared" si="11"/>
        <v>0</v>
      </c>
      <c r="G61" s="4"/>
      <c r="H61" s="73" t="e">
        <f t="shared" si="18"/>
        <v>#DIV/0!</v>
      </c>
      <c r="I61" s="4"/>
      <c r="J61" s="2"/>
      <c r="K61" s="3">
        <f t="shared" si="3"/>
        <v>0</v>
      </c>
      <c r="L61" s="4"/>
      <c r="M61" s="73" t="e">
        <f t="shared" si="4"/>
        <v>#DIV/0!</v>
      </c>
      <c r="N61" s="4"/>
      <c r="O61" s="2"/>
      <c r="P61" s="3">
        <f t="shared" si="5"/>
        <v>0</v>
      </c>
      <c r="Q61" s="4"/>
      <c r="R61" s="76" t="e">
        <f t="shared" si="6"/>
        <v>#DIV/0!</v>
      </c>
      <c r="S61" s="4"/>
      <c r="T61" s="2"/>
      <c r="U61" s="3">
        <f t="shared" si="19"/>
        <v>0</v>
      </c>
      <c r="V61" s="4"/>
      <c r="W61" s="73" t="e">
        <f t="shared" si="20"/>
        <v>#DIV/0!</v>
      </c>
      <c r="X61" s="4"/>
      <c r="Y61" s="10"/>
      <c r="Z61" s="2"/>
      <c r="AA61" s="73" t="e">
        <f t="shared" si="13"/>
        <v>#DIV/0!</v>
      </c>
      <c r="AB61" s="10"/>
      <c r="AC61" s="10"/>
      <c r="AD61" s="13"/>
      <c r="AE61" s="10"/>
      <c r="AF61" s="10">
        <f t="shared" si="1"/>
        <v>0</v>
      </c>
      <c r="AG61" s="12" t="e">
        <f t="shared" si="17"/>
        <v>#DIV/0!</v>
      </c>
      <c r="AH61" s="11">
        <f>G61*3.7+L61*3.7+Q61*4.2+V61*7.5+AE61</f>
        <v>0</v>
      </c>
      <c r="AI61" s="12" t="e">
        <f t="shared" si="10"/>
        <v>#DIV/0!</v>
      </c>
      <c r="AJ61" s="24"/>
      <c r="AK61" s="24" t="s">
        <v>80</v>
      </c>
    </row>
    <row r="62" spans="1:37" x14ac:dyDescent="0.25">
      <c r="A62" s="24">
        <v>56</v>
      </c>
      <c r="B62" s="39" t="s">
        <v>100</v>
      </c>
      <c r="C62" s="1">
        <v>2.82</v>
      </c>
      <c r="D62" s="1">
        <v>320</v>
      </c>
      <c r="E62" s="2">
        <v>1128</v>
      </c>
      <c r="F62" s="3">
        <f>G62*D62/1000</f>
        <v>360.96</v>
      </c>
      <c r="G62" s="4">
        <v>1128</v>
      </c>
      <c r="H62" s="73">
        <f t="shared" si="18"/>
        <v>400</v>
      </c>
      <c r="I62" s="4">
        <v>3384</v>
      </c>
      <c r="J62" s="2">
        <v>141</v>
      </c>
      <c r="K62" s="3">
        <f t="shared" si="3"/>
        <v>45.12</v>
      </c>
      <c r="L62" s="4">
        <v>141</v>
      </c>
      <c r="M62" s="73">
        <f t="shared" si="4"/>
        <v>50</v>
      </c>
      <c r="N62" s="4">
        <v>423</v>
      </c>
      <c r="O62" s="2">
        <v>282</v>
      </c>
      <c r="P62" s="3">
        <f>Q62*D62/1000</f>
        <v>90.24</v>
      </c>
      <c r="Q62" s="4">
        <v>282</v>
      </c>
      <c r="R62" s="76">
        <f>Q62/C62</f>
        <v>100</v>
      </c>
      <c r="S62" s="4">
        <v>846</v>
      </c>
      <c r="T62" s="2">
        <v>141</v>
      </c>
      <c r="U62" s="3">
        <f t="shared" si="19"/>
        <v>45.12</v>
      </c>
      <c r="V62" s="4">
        <v>141</v>
      </c>
      <c r="W62" s="73">
        <f t="shared" si="20"/>
        <v>50</v>
      </c>
      <c r="X62" s="4">
        <v>987</v>
      </c>
      <c r="Y62" s="10"/>
      <c r="Z62" s="2"/>
      <c r="AA62" s="73">
        <f t="shared" si="13"/>
        <v>0</v>
      </c>
      <c r="AB62" s="10"/>
      <c r="AC62" s="10">
        <v>5640</v>
      </c>
      <c r="AD62" s="13">
        <f t="shared" si="16"/>
        <v>0</v>
      </c>
      <c r="AE62" s="10"/>
      <c r="AF62" s="10">
        <f t="shared" si="1"/>
        <v>5640</v>
      </c>
      <c r="AG62" s="12">
        <f t="shared" si="17"/>
        <v>2000</v>
      </c>
      <c r="AH62" s="11">
        <f>G62*3.7+L62*3.7+Q62*4.2+V62*7.5</f>
        <v>6937.2000000000007</v>
      </c>
      <c r="AI62" s="12">
        <f t="shared" si="10"/>
        <v>2460.0000000000005</v>
      </c>
      <c r="AJ62" s="24">
        <v>49</v>
      </c>
      <c r="AK62" s="15" t="s">
        <v>100</v>
      </c>
    </row>
    <row r="63" spans="1:37" x14ac:dyDescent="0.25">
      <c r="A63" s="24">
        <v>57</v>
      </c>
      <c r="B63" s="39" t="s">
        <v>142</v>
      </c>
      <c r="C63" s="1">
        <v>2.89</v>
      </c>
      <c r="D63" s="1">
        <v>22</v>
      </c>
      <c r="E63" s="2">
        <v>200</v>
      </c>
      <c r="F63" s="3">
        <f>G63*D63/1000</f>
        <v>4.4000000000000004</v>
      </c>
      <c r="G63" s="2">
        <v>200</v>
      </c>
      <c r="H63" s="73">
        <f>G63/C63</f>
        <v>69.20415224913495</v>
      </c>
      <c r="I63" s="6">
        <v>800</v>
      </c>
      <c r="J63" s="4">
        <v>200</v>
      </c>
      <c r="K63" s="3">
        <f t="shared" si="3"/>
        <v>4.4000000000000004</v>
      </c>
      <c r="L63" s="2">
        <v>200</v>
      </c>
      <c r="M63" s="73">
        <f t="shared" si="4"/>
        <v>69.20415224913495</v>
      </c>
      <c r="N63" s="9">
        <v>700</v>
      </c>
      <c r="O63" s="4">
        <v>200</v>
      </c>
      <c r="P63" s="3">
        <f>Q63*D63/1000</f>
        <v>4.4000000000000004</v>
      </c>
      <c r="Q63" s="2">
        <v>200</v>
      </c>
      <c r="R63" s="76">
        <f>Q63/C63</f>
        <v>69.20415224913495</v>
      </c>
      <c r="S63" s="6">
        <v>600</v>
      </c>
      <c r="T63" s="4">
        <v>100</v>
      </c>
      <c r="U63" s="3">
        <f>V63*D63/1000</f>
        <v>2.2000000000000002</v>
      </c>
      <c r="V63" s="2">
        <v>100</v>
      </c>
      <c r="W63" s="73">
        <f>V63/C63</f>
        <v>34.602076124567475</v>
      </c>
      <c r="X63" s="6">
        <v>650</v>
      </c>
      <c r="Y63" s="4"/>
      <c r="Z63" s="4"/>
      <c r="AA63" s="73">
        <f>Z63/C63</f>
        <v>0</v>
      </c>
      <c r="AB63" s="4"/>
      <c r="AC63" s="4">
        <v>2750</v>
      </c>
      <c r="AD63" s="13">
        <f>AE63/C63</f>
        <v>0</v>
      </c>
      <c r="AE63" s="4"/>
      <c r="AF63" s="10">
        <f>I63+N63+S63+X63+AB63+AE63</f>
        <v>2750</v>
      </c>
      <c r="AG63" s="12">
        <f t="shared" si="17"/>
        <v>951.55709342560544</v>
      </c>
      <c r="AH63" s="11">
        <f>G63*3.7+L63*3.7+Q63*4.2+V63*7.5</f>
        <v>3070</v>
      </c>
      <c r="AI63" s="12">
        <f>AH63/C63</f>
        <v>1062.2837370242214</v>
      </c>
      <c r="AJ63" s="24">
        <v>50</v>
      </c>
      <c r="AK63" s="15" t="s">
        <v>142</v>
      </c>
    </row>
    <row r="64" spans="1:37" x14ac:dyDescent="0.25">
      <c r="A64" s="24">
        <v>58</v>
      </c>
      <c r="B64" s="61" t="s">
        <v>171</v>
      </c>
      <c r="C64" s="1"/>
      <c r="D64" s="1"/>
      <c r="E64" s="2"/>
      <c r="F64" s="3">
        <f>G64*D64/1000</f>
        <v>0</v>
      </c>
      <c r="G64" s="2"/>
      <c r="H64" s="73" t="e">
        <f>G64/C64</f>
        <v>#DIV/0!</v>
      </c>
      <c r="I64" s="6"/>
      <c r="J64" s="4"/>
      <c r="K64" s="3">
        <f t="shared" si="3"/>
        <v>0</v>
      </c>
      <c r="L64" s="2"/>
      <c r="M64" s="73" t="e">
        <f t="shared" si="4"/>
        <v>#DIV/0!</v>
      </c>
      <c r="N64" s="9"/>
      <c r="O64" s="4"/>
      <c r="P64" s="3">
        <f>Q64*D64/1000</f>
        <v>0</v>
      </c>
      <c r="Q64" s="2"/>
      <c r="R64" s="76" t="e">
        <f>Q64/C64</f>
        <v>#DIV/0!</v>
      </c>
      <c r="S64" s="6"/>
      <c r="T64" s="4"/>
      <c r="U64" s="3">
        <f>V64*D64/1000</f>
        <v>0</v>
      </c>
      <c r="V64" s="2"/>
      <c r="W64" s="73" t="e">
        <f>V64/C64</f>
        <v>#DIV/0!</v>
      </c>
      <c r="X64" s="6"/>
      <c r="Y64" s="4"/>
      <c r="Z64" s="4"/>
      <c r="AA64" s="73" t="e">
        <f>Z64/C64</f>
        <v>#DIV/0!</v>
      </c>
      <c r="AB64" s="4"/>
      <c r="AC64" s="4"/>
      <c r="AD64" s="13" t="e">
        <f>AE64/C64</f>
        <v>#DIV/0!</v>
      </c>
      <c r="AE64" s="4"/>
      <c r="AF64" s="10">
        <f>I64+N64+S64+X64+AB64+AE64</f>
        <v>0</v>
      </c>
      <c r="AG64" s="12" t="e">
        <f t="shared" si="17"/>
        <v>#DIV/0!</v>
      </c>
      <c r="AH64" s="11">
        <f>G64*3.7+L64*3.7+Q64*4.2+V64*7.5</f>
        <v>0</v>
      </c>
      <c r="AI64" s="12" t="e">
        <f>AH64/C64</f>
        <v>#DIV/0!</v>
      </c>
      <c r="AJ64" s="24">
        <v>50</v>
      </c>
      <c r="AK64" s="39" t="s">
        <v>166</v>
      </c>
    </row>
    <row r="65" spans="1:37" x14ac:dyDescent="0.25">
      <c r="A65" s="24">
        <v>59</v>
      </c>
      <c r="B65" s="39" t="s">
        <v>167</v>
      </c>
      <c r="C65" s="1">
        <v>1.6</v>
      </c>
      <c r="D65" s="1"/>
      <c r="E65" s="2"/>
      <c r="F65" s="3">
        <f>G65*D65/1000</f>
        <v>0</v>
      </c>
      <c r="G65" s="2"/>
      <c r="H65" s="73">
        <f>G65/C65</f>
        <v>0</v>
      </c>
      <c r="I65" s="6"/>
      <c r="J65" s="4"/>
      <c r="K65" s="3">
        <f t="shared" si="3"/>
        <v>0</v>
      </c>
      <c r="L65" s="2"/>
      <c r="M65" s="73">
        <f t="shared" si="4"/>
        <v>0</v>
      </c>
      <c r="N65" s="9"/>
      <c r="O65" s="4"/>
      <c r="P65" s="3">
        <f>Q65*D65/1000</f>
        <v>0</v>
      </c>
      <c r="Q65" s="2"/>
      <c r="R65" s="76">
        <f>Q65/C65</f>
        <v>0</v>
      </c>
      <c r="S65" s="6"/>
      <c r="T65" s="4"/>
      <c r="U65" s="3">
        <f>V65*D65/1000</f>
        <v>0</v>
      </c>
      <c r="V65" s="2"/>
      <c r="W65" s="73">
        <f>V65/C65</f>
        <v>0</v>
      </c>
      <c r="X65" s="6"/>
      <c r="Y65" s="4" t="s">
        <v>137</v>
      </c>
      <c r="Z65" s="4"/>
      <c r="AA65" s="73">
        <f>Z65/C65</f>
        <v>0</v>
      </c>
      <c r="AB65" s="4">
        <v>1612</v>
      </c>
      <c r="AC65" s="4"/>
      <c r="AD65" s="13">
        <f>AE65/C65</f>
        <v>0</v>
      </c>
      <c r="AE65" s="4"/>
      <c r="AF65" s="10">
        <f>I65+N65+S65+X65+AB65+AE65</f>
        <v>1612</v>
      </c>
      <c r="AG65" s="12">
        <f t="shared" si="17"/>
        <v>1007.5</v>
      </c>
      <c r="AH65" s="12">
        <f>AB65</f>
        <v>1612</v>
      </c>
      <c r="AI65" s="12">
        <f>AH65/C65</f>
        <v>1007.5</v>
      </c>
      <c r="AJ65" s="24">
        <v>50</v>
      </c>
      <c r="AK65" s="39" t="s">
        <v>165</v>
      </c>
    </row>
    <row r="66" spans="1:37" x14ac:dyDescent="0.25">
      <c r="A66" s="24">
        <v>60</v>
      </c>
      <c r="B66" s="61" t="s">
        <v>194</v>
      </c>
      <c r="C66" s="1"/>
      <c r="D66" s="1"/>
      <c r="E66" s="2"/>
      <c r="F66" s="3">
        <f t="shared" ref="F66:F76" si="21">G66*D66/1000</f>
        <v>0</v>
      </c>
      <c r="G66" s="2"/>
      <c r="H66" s="73" t="e">
        <f>G66/C66</f>
        <v>#DIV/0!</v>
      </c>
      <c r="I66" s="6"/>
      <c r="J66" s="4"/>
      <c r="K66" s="3">
        <f t="shared" si="3"/>
        <v>0</v>
      </c>
      <c r="L66" s="2"/>
      <c r="M66" s="73" t="e">
        <f t="shared" si="4"/>
        <v>#DIV/0!</v>
      </c>
      <c r="N66" s="9"/>
      <c r="O66" s="4"/>
      <c r="P66" s="3">
        <f t="shared" si="5"/>
        <v>0</v>
      </c>
      <c r="Q66" s="2"/>
      <c r="R66" s="76" t="e">
        <f t="shared" si="6"/>
        <v>#DIV/0!</v>
      </c>
      <c r="S66" s="6"/>
      <c r="T66" s="4"/>
      <c r="U66" s="3">
        <f t="shared" si="19"/>
        <v>0</v>
      </c>
      <c r="V66" s="2"/>
      <c r="W66" s="73" t="e">
        <f t="shared" si="20"/>
        <v>#DIV/0!</v>
      </c>
      <c r="X66" s="6"/>
      <c r="Y66" s="4"/>
      <c r="Z66" s="4"/>
      <c r="AA66" s="73" t="e">
        <f t="shared" si="13"/>
        <v>#DIV/0!</v>
      </c>
      <c r="AB66" s="4"/>
      <c r="AC66" s="4"/>
      <c r="AD66" s="13" t="e">
        <f t="shared" si="16"/>
        <v>#DIV/0!</v>
      </c>
      <c r="AE66" s="4"/>
      <c r="AF66" s="10">
        <f t="shared" si="1"/>
        <v>0</v>
      </c>
      <c r="AG66" s="12" t="e">
        <f t="shared" si="17"/>
        <v>#DIV/0!</v>
      </c>
      <c r="AH66" s="11">
        <f>G66*3.7+L66*3.7+Q66*4.2+V66*7.5</f>
        <v>0</v>
      </c>
      <c r="AI66" s="12" t="e">
        <f t="shared" si="10"/>
        <v>#DIV/0!</v>
      </c>
      <c r="AJ66" s="24">
        <v>50</v>
      </c>
      <c r="AK66" s="39" t="s">
        <v>172</v>
      </c>
    </row>
    <row r="67" spans="1:37" x14ac:dyDescent="0.25">
      <c r="A67" s="24">
        <v>61</v>
      </c>
      <c r="B67" s="39" t="s">
        <v>153</v>
      </c>
      <c r="C67" s="1">
        <v>1.7</v>
      </c>
      <c r="D67" s="1">
        <v>70</v>
      </c>
      <c r="E67" s="2">
        <v>500</v>
      </c>
      <c r="F67" s="3">
        <f t="shared" si="21"/>
        <v>17.850000000000001</v>
      </c>
      <c r="G67" s="2">
        <v>255</v>
      </c>
      <c r="H67" s="73">
        <f t="shared" ref="H67:H76" si="22">G67/C67</f>
        <v>150</v>
      </c>
      <c r="I67" s="6">
        <v>892.5</v>
      </c>
      <c r="J67" s="4"/>
      <c r="K67" s="3">
        <f t="shared" si="3"/>
        <v>0</v>
      </c>
      <c r="L67" s="2"/>
      <c r="M67" s="73">
        <f t="shared" si="4"/>
        <v>0</v>
      </c>
      <c r="N67" s="9"/>
      <c r="O67" s="4"/>
      <c r="P67" s="3">
        <f t="shared" si="5"/>
        <v>0</v>
      </c>
      <c r="Q67" s="2"/>
      <c r="R67" s="76">
        <f t="shared" si="6"/>
        <v>0</v>
      </c>
      <c r="S67" s="6"/>
      <c r="T67" s="4">
        <v>100</v>
      </c>
      <c r="U67" s="3">
        <f t="shared" si="19"/>
        <v>4.76</v>
      </c>
      <c r="V67" s="2">
        <v>68</v>
      </c>
      <c r="W67" s="73">
        <f t="shared" si="20"/>
        <v>40</v>
      </c>
      <c r="X67" s="6">
        <v>544</v>
      </c>
      <c r="Y67" s="4"/>
      <c r="Z67" s="4"/>
      <c r="AA67" s="73">
        <f t="shared" si="13"/>
        <v>0</v>
      </c>
      <c r="AB67" s="4"/>
      <c r="AC67" s="4">
        <v>2550</v>
      </c>
      <c r="AD67" s="13">
        <f>AE67/C67</f>
        <v>0</v>
      </c>
      <c r="AE67" s="4"/>
      <c r="AF67" s="10">
        <f t="shared" si="1"/>
        <v>1436.5</v>
      </c>
      <c r="AG67" s="12">
        <f t="shared" si="17"/>
        <v>845</v>
      </c>
      <c r="AH67" s="11">
        <f>G67*3.7+L67*3.7+Q67*4.2+V67*7.5</f>
        <v>1453.5</v>
      </c>
      <c r="AI67" s="12">
        <f>AH67/C67</f>
        <v>855</v>
      </c>
      <c r="AJ67" s="24"/>
      <c r="AK67" s="39" t="s">
        <v>153</v>
      </c>
    </row>
    <row r="68" spans="1:37" x14ac:dyDescent="0.25">
      <c r="A68" s="24">
        <v>62</v>
      </c>
      <c r="B68" s="39" t="s">
        <v>141</v>
      </c>
      <c r="C68" s="1">
        <v>1.4</v>
      </c>
      <c r="D68" s="1">
        <v>71.400000000000006</v>
      </c>
      <c r="E68" s="2"/>
      <c r="F68" s="3">
        <f t="shared" si="21"/>
        <v>0</v>
      </c>
      <c r="G68" s="2"/>
      <c r="H68" s="73">
        <f t="shared" si="22"/>
        <v>0</v>
      </c>
      <c r="I68" s="6"/>
      <c r="J68" s="4"/>
      <c r="K68" s="3">
        <f t="shared" si="3"/>
        <v>0</v>
      </c>
      <c r="L68" s="2"/>
      <c r="M68" s="73">
        <f t="shared" si="4"/>
        <v>0</v>
      </c>
      <c r="N68" s="9"/>
      <c r="O68" s="4"/>
      <c r="P68" s="3">
        <f t="shared" si="5"/>
        <v>0</v>
      </c>
      <c r="Q68" s="2"/>
      <c r="R68" s="76">
        <f t="shared" si="6"/>
        <v>0</v>
      </c>
      <c r="S68" s="6"/>
      <c r="T68" s="4"/>
      <c r="U68" s="3">
        <f t="shared" si="19"/>
        <v>0</v>
      </c>
      <c r="V68" s="2"/>
      <c r="W68" s="73">
        <f t="shared" si="20"/>
        <v>0</v>
      </c>
      <c r="X68" s="6"/>
      <c r="Y68" s="4"/>
      <c r="Z68" s="4"/>
      <c r="AA68" s="73">
        <f t="shared" si="13"/>
        <v>0</v>
      </c>
      <c r="AB68" s="4"/>
      <c r="AC68" s="4">
        <v>2800</v>
      </c>
      <c r="AD68" s="13">
        <f>AE68/C68</f>
        <v>2000.0000000000002</v>
      </c>
      <c r="AE68" s="4">
        <v>2800</v>
      </c>
      <c r="AF68" s="10">
        <f t="shared" si="1"/>
        <v>2800</v>
      </c>
      <c r="AG68" s="12">
        <f t="shared" si="17"/>
        <v>2000.0000000000002</v>
      </c>
      <c r="AH68" s="11">
        <f>G68*3.7+L68*3.7+Q68*4.2+V68*7.5+AE68</f>
        <v>2800</v>
      </c>
      <c r="AI68" s="12">
        <f>AH68/C68</f>
        <v>2000.0000000000002</v>
      </c>
      <c r="AJ68" s="24"/>
      <c r="AK68" s="15" t="s">
        <v>143</v>
      </c>
    </row>
    <row r="69" spans="1:37" ht="25.5" customHeight="1" x14ac:dyDescent="0.25">
      <c r="A69" s="24">
        <v>63</v>
      </c>
      <c r="B69" s="66" t="s">
        <v>195</v>
      </c>
      <c r="C69" s="1">
        <v>1.6</v>
      </c>
      <c r="D69" s="1">
        <v>80.599999999999994</v>
      </c>
      <c r="E69" s="2">
        <v>300</v>
      </c>
      <c r="F69" s="3">
        <f t="shared" si="21"/>
        <v>0</v>
      </c>
      <c r="G69" s="2"/>
      <c r="H69" s="73">
        <f t="shared" si="22"/>
        <v>0</v>
      </c>
      <c r="I69" s="6"/>
      <c r="J69" s="4">
        <v>60</v>
      </c>
      <c r="K69" s="3">
        <f t="shared" si="3"/>
        <v>0</v>
      </c>
      <c r="L69" s="2"/>
      <c r="M69" s="73">
        <f t="shared" si="4"/>
        <v>0</v>
      </c>
      <c r="N69" s="9"/>
      <c r="O69" s="4">
        <v>60</v>
      </c>
      <c r="P69" s="3">
        <f t="shared" si="5"/>
        <v>0</v>
      </c>
      <c r="Q69" s="2"/>
      <c r="R69" s="76">
        <f t="shared" si="6"/>
        <v>0</v>
      </c>
      <c r="S69" s="6"/>
      <c r="T69" s="4">
        <v>50</v>
      </c>
      <c r="U69" s="3">
        <f t="shared" si="19"/>
        <v>0</v>
      </c>
      <c r="V69" s="2"/>
      <c r="W69" s="73">
        <f t="shared" si="20"/>
        <v>0</v>
      </c>
      <c r="X69" s="6"/>
      <c r="Y69" s="4"/>
      <c r="Z69" s="4"/>
      <c r="AA69" s="73">
        <f t="shared" si="13"/>
        <v>0</v>
      </c>
      <c r="AB69" s="4"/>
      <c r="AC69" s="4">
        <v>1520</v>
      </c>
      <c r="AD69" s="13"/>
      <c r="AE69" s="4"/>
      <c r="AF69" s="10">
        <f>I69+N69+S69+X69+AB69+AE69</f>
        <v>0</v>
      </c>
      <c r="AG69" s="12">
        <f t="shared" si="17"/>
        <v>0</v>
      </c>
      <c r="AH69" s="11">
        <f t="shared" ref="AH69:AH75" si="23">G69*3.7+L69*3.7+Q69*4.2+V69*7.5</f>
        <v>0</v>
      </c>
      <c r="AI69" s="12">
        <f t="shared" ref="AI69:AI74" si="24">AH69/C69</f>
        <v>0</v>
      </c>
      <c r="AJ69" s="24"/>
      <c r="AK69" s="39" t="s">
        <v>155</v>
      </c>
    </row>
    <row r="70" spans="1:37" x14ac:dyDescent="0.25">
      <c r="A70" s="24">
        <v>64</v>
      </c>
      <c r="B70" s="39" t="s">
        <v>156</v>
      </c>
      <c r="C70" s="1">
        <v>1.9</v>
      </c>
      <c r="D70" s="1">
        <v>33</v>
      </c>
      <c r="E70" s="2">
        <v>375</v>
      </c>
      <c r="F70" s="3">
        <f t="shared" si="21"/>
        <v>12.375</v>
      </c>
      <c r="G70" s="2">
        <v>375</v>
      </c>
      <c r="H70" s="73">
        <f t="shared" si="22"/>
        <v>197.36842105263159</v>
      </c>
      <c r="I70" s="6">
        <v>1312.5</v>
      </c>
      <c r="J70" s="4"/>
      <c r="K70" s="3">
        <f t="shared" si="3"/>
        <v>0</v>
      </c>
      <c r="L70" s="2"/>
      <c r="M70" s="73">
        <f t="shared" si="4"/>
        <v>0</v>
      </c>
      <c r="N70" s="9"/>
      <c r="O70" s="4"/>
      <c r="P70" s="3">
        <f t="shared" si="5"/>
        <v>0</v>
      </c>
      <c r="Q70" s="2"/>
      <c r="R70" s="76">
        <f t="shared" si="6"/>
        <v>0</v>
      </c>
      <c r="S70" s="6"/>
      <c r="T70" s="4"/>
      <c r="U70" s="3">
        <f t="shared" si="19"/>
        <v>0</v>
      </c>
      <c r="V70" s="2"/>
      <c r="W70" s="73">
        <f t="shared" si="20"/>
        <v>0</v>
      </c>
      <c r="X70" s="6"/>
      <c r="Y70" s="4"/>
      <c r="Z70" s="4"/>
      <c r="AA70" s="73">
        <f t="shared" si="13"/>
        <v>0</v>
      </c>
      <c r="AB70" s="4"/>
      <c r="AC70" s="4">
        <v>1312.5</v>
      </c>
      <c r="AD70" s="13"/>
      <c r="AE70" s="4"/>
      <c r="AF70" s="13">
        <f t="shared" si="1"/>
        <v>1312.5</v>
      </c>
      <c r="AG70" s="12">
        <f t="shared" si="17"/>
        <v>690.78947368421052</v>
      </c>
      <c r="AH70" s="11">
        <f t="shared" si="23"/>
        <v>1387.5</v>
      </c>
      <c r="AI70" s="12">
        <f t="shared" si="24"/>
        <v>730.26315789473688</v>
      </c>
      <c r="AJ70" s="24"/>
      <c r="AK70" s="39" t="s">
        <v>156</v>
      </c>
    </row>
    <row r="71" spans="1:37" x14ac:dyDescent="0.25">
      <c r="A71" s="24">
        <v>65</v>
      </c>
      <c r="B71" s="39" t="s">
        <v>157</v>
      </c>
      <c r="C71" s="1">
        <v>1.6</v>
      </c>
      <c r="D71" s="1">
        <v>111</v>
      </c>
      <c r="E71" s="2">
        <v>375</v>
      </c>
      <c r="F71" s="3">
        <f>G71*D71/1000</f>
        <v>41.625</v>
      </c>
      <c r="G71" s="2">
        <v>375</v>
      </c>
      <c r="H71" s="73">
        <f>G71/C71</f>
        <v>234.375</v>
      </c>
      <c r="I71" s="6">
        <v>1312.5</v>
      </c>
      <c r="J71" s="4"/>
      <c r="K71" s="3">
        <f t="shared" si="3"/>
        <v>0</v>
      </c>
      <c r="L71" s="2"/>
      <c r="M71" s="73">
        <f t="shared" si="4"/>
        <v>0</v>
      </c>
      <c r="N71" s="9"/>
      <c r="O71" s="4"/>
      <c r="P71" s="3">
        <f t="shared" si="5"/>
        <v>0</v>
      </c>
      <c r="Q71" s="2"/>
      <c r="R71" s="76">
        <f t="shared" si="6"/>
        <v>0</v>
      </c>
      <c r="S71" s="6"/>
      <c r="T71" s="4">
        <v>50</v>
      </c>
      <c r="U71" s="3">
        <f t="shared" si="19"/>
        <v>5.55</v>
      </c>
      <c r="V71" s="2">
        <v>50</v>
      </c>
      <c r="W71" s="73">
        <f t="shared" si="20"/>
        <v>31.25</v>
      </c>
      <c r="X71" s="6">
        <v>300</v>
      </c>
      <c r="Y71" s="4"/>
      <c r="Z71" s="4"/>
      <c r="AA71" s="73">
        <f t="shared" si="13"/>
        <v>0</v>
      </c>
      <c r="AB71" s="4"/>
      <c r="AC71" s="4">
        <v>1612.5</v>
      </c>
      <c r="AD71" s="13"/>
      <c r="AE71" s="4"/>
      <c r="AF71" s="10">
        <f>I71+N71+S71+X71+AB71+AE71</f>
        <v>1612.5</v>
      </c>
      <c r="AG71" s="12">
        <f t="shared" si="17"/>
        <v>1007.8125</v>
      </c>
      <c r="AH71" s="11">
        <f t="shared" si="23"/>
        <v>1762.5</v>
      </c>
      <c r="AI71" s="12">
        <f t="shared" si="24"/>
        <v>1101.5625</v>
      </c>
      <c r="AJ71" s="24"/>
      <c r="AK71" s="39" t="s">
        <v>157</v>
      </c>
    </row>
    <row r="72" spans="1:37" ht="24.75" customHeight="1" x14ac:dyDescent="0.25">
      <c r="A72" s="24">
        <v>66</v>
      </c>
      <c r="B72" s="66" t="s">
        <v>196</v>
      </c>
      <c r="C72" s="1">
        <v>1.5</v>
      </c>
      <c r="D72" s="1">
        <v>100</v>
      </c>
      <c r="E72" s="2">
        <v>500</v>
      </c>
      <c r="F72" s="3">
        <f>G72*D72/1000</f>
        <v>0</v>
      </c>
      <c r="G72" s="2"/>
      <c r="H72" s="73">
        <f>G72/C72</f>
        <v>0</v>
      </c>
      <c r="I72" s="6"/>
      <c r="J72" s="4">
        <v>100</v>
      </c>
      <c r="K72" s="3">
        <f t="shared" si="3"/>
        <v>0</v>
      </c>
      <c r="L72" s="2"/>
      <c r="M72" s="73">
        <f t="shared" si="4"/>
        <v>0</v>
      </c>
      <c r="N72" s="9"/>
      <c r="O72" s="4"/>
      <c r="P72" s="3">
        <f t="shared" si="5"/>
        <v>0</v>
      </c>
      <c r="Q72" s="2"/>
      <c r="R72" s="76">
        <f t="shared" si="6"/>
        <v>0</v>
      </c>
      <c r="S72" s="6"/>
      <c r="T72" s="4">
        <v>100</v>
      </c>
      <c r="U72" s="3">
        <f t="shared" si="19"/>
        <v>0</v>
      </c>
      <c r="V72" s="2"/>
      <c r="W72" s="73">
        <f t="shared" si="20"/>
        <v>0</v>
      </c>
      <c r="X72" s="6"/>
      <c r="Y72" s="4"/>
      <c r="Z72" s="4"/>
      <c r="AA72" s="73">
        <f t="shared" si="13"/>
        <v>0</v>
      </c>
      <c r="AB72" s="4"/>
      <c r="AC72" s="4">
        <v>2400</v>
      </c>
      <c r="AD72" s="13"/>
      <c r="AE72" s="4"/>
      <c r="AF72" s="10">
        <f>I72+N72+S72+X72+AB72+AE72</f>
        <v>0</v>
      </c>
      <c r="AG72" s="12">
        <f t="shared" si="17"/>
        <v>0</v>
      </c>
      <c r="AH72" s="11">
        <f t="shared" si="23"/>
        <v>0</v>
      </c>
      <c r="AI72" s="12">
        <f t="shared" si="24"/>
        <v>0</v>
      </c>
      <c r="AJ72" s="24"/>
      <c r="AK72" s="39" t="s">
        <v>158</v>
      </c>
    </row>
    <row r="73" spans="1:37" x14ac:dyDescent="0.25">
      <c r="A73" s="24">
        <v>67</v>
      </c>
      <c r="B73" s="39" t="s">
        <v>144</v>
      </c>
      <c r="C73" s="1">
        <v>1.7</v>
      </c>
      <c r="D73" s="1">
        <v>114</v>
      </c>
      <c r="E73" s="2">
        <v>500</v>
      </c>
      <c r="F73" s="3">
        <f>G73*D73/1000</f>
        <v>22.8</v>
      </c>
      <c r="G73" s="2">
        <v>200</v>
      </c>
      <c r="H73" s="73">
        <f>G73/C73</f>
        <v>117.64705882352942</v>
      </c>
      <c r="I73" s="6">
        <v>600</v>
      </c>
      <c r="J73" s="4"/>
      <c r="K73" s="3">
        <f t="shared" ref="K73:K78" si="25">L73*D73/1000</f>
        <v>0</v>
      </c>
      <c r="L73" s="2"/>
      <c r="M73" s="73">
        <f t="shared" ref="M73:M78" si="26">L73/C73</f>
        <v>0</v>
      </c>
      <c r="N73" s="9"/>
      <c r="O73" s="4">
        <v>250</v>
      </c>
      <c r="P73" s="3">
        <f>Q73*D73/1000</f>
        <v>5.7</v>
      </c>
      <c r="Q73" s="2">
        <v>50</v>
      </c>
      <c r="R73" s="76">
        <f>Q73/C73</f>
        <v>29.411764705882355</v>
      </c>
      <c r="S73" s="6">
        <v>150</v>
      </c>
      <c r="T73" s="4">
        <v>100</v>
      </c>
      <c r="U73" s="3">
        <f t="shared" si="19"/>
        <v>11.4</v>
      </c>
      <c r="V73" s="2">
        <v>100</v>
      </c>
      <c r="W73" s="73">
        <f t="shared" si="20"/>
        <v>58.82352941176471</v>
      </c>
      <c r="X73" s="6">
        <v>580</v>
      </c>
      <c r="Y73" s="4"/>
      <c r="Z73" s="4"/>
      <c r="AA73" s="73">
        <f t="shared" si="13"/>
        <v>0</v>
      </c>
      <c r="AB73" s="4"/>
      <c r="AC73" s="4">
        <v>2830</v>
      </c>
      <c r="AD73" s="13"/>
      <c r="AE73" s="4"/>
      <c r="AF73" s="10">
        <f>I73+N73+S73+X73+AB73+AE73</f>
        <v>1330</v>
      </c>
      <c r="AG73" s="12">
        <f t="shared" si="17"/>
        <v>782.35294117647061</v>
      </c>
      <c r="AH73" s="11">
        <f t="shared" si="23"/>
        <v>1700</v>
      </c>
      <c r="AI73" s="12">
        <f t="shared" si="24"/>
        <v>1000</v>
      </c>
      <c r="AJ73" s="24"/>
      <c r="AK73" s="39" t="s">
        <v>144</v>
      </c>
    </row>
    <row r="74" spans="1:37" x14ac:dyDescent="0.25">
      <c r="A74" s="24">
        <v>68</v>
      </c>
      <c r="B74" s="39" t="s">
        <v>159</v>
      </c>
      <c r="C74" s="1">
        <v>1.6</v>
      </c>
      <c r="D74" s="1">
        <v>165</v>
      </c>
      <c r="E74" s="2">
        <v>375</v>
      </c>
      <c r="F74" s="3">
        <f>G74*D74/1000</f>
        <v>61.875</v>
      </c>
      <c r="G74" s="2">
        <v>375</v>
      </c>
      <c r="H74" s="73">
        <f>G74/C74</f>
        <v>234.375</v>
      </c>
      <c r="I74" s="6">
        <v>1275</v>
      </c>
      <c r="J74" s="4"/>
      <c r="K74" s="3">
        <f t="shared" si="25"/>
        <v>0</v>
      </c>
      <c r="L74" s="2"/>
      <c r="M74" s="73">
        <f t="shared" si="26"/>
        <v>0</v>
      </c>
      <c r="N74" s="9"/>
      <c r="O74" s="4"/>
      <c r="P74" s="3">
        <f>Q74*D74/1000</f>
        <v>0</v>
      </c>
      <c r="Q74" s="2"/>
      <c r="R74" s="76">
        <f>Q74/C74</f>
        <v>0</v>
      </c>
      <c r="S74" s="6"/>
      <c r="T74" s="4">
        <v>50</v>
      </c>
      <c r="U74" s="3">
        <f t="shared" si="19"/>
        <v>8.25</v>
      </c>
      <c r="V74" s="2">
        <v>50</v>
      </c>
      <c r="W74" s="73">
        <f t="shared" si="20"/>
        <v>31.25</v>
      </c>
      <c r="X74" s="6">
        <v>300</v>
      </c>
      <c r="Y74" s="4"/>
      <c r="Z74" s="4"/>
      <c r="AA74" s="73">
        <f t="shared" si="13"/>
        <v>0</v>
      </c>
      <c r="AB74" s="4"/>
      <c r="AC74" s="4">
        <v>1575</v>
      </c>
      <c r="AD74" s="13"/>
      <c r="AE74" s="4"/>
      <c r="AF74" s="13">
        <f>I74+N74+S74+X74+AB74+AE74</f>
        <v>1575</v>
      </c>
      <c r="AG74" s="12">
        <f t="shared" si="17"/>
        <v>984.375</v>
      </c>
      <c r="AH74" s="11">
        <f t="shared" si="23"/>
        <v>1762.5</v>
      </c>
      <c r="AI74" s="12">
        <f t="shared" si="24"/>
        <v>1101.5625</v>
      </c>
      <c r="AJ74" s="24"/>
      <c r="AK74" s="39" t="s">
        <v>159</v>
      </c>
    </row>
    <row r="75" spans="1:37" ht="25.5" customHeight="1" x14ac:dyDescent="0.25">
      <c r="A75" s="24">
        <v>69</v>
      </c>
      <c r="B75" s="66" t="s">
        <v>197</v>
      </c>
      <c r="C75" s="1">
        <v>1.6</v>
      </c>
      <c r="D75" s="1">
        <v>32.5</v>
      </c>
      <c r="E75" s="2"/>
      <c r="F75" s="3">
        <f t="shared" si="21"/>
        <v>0</v>
      </c>
      <c r="G75" s="2"/>
      <c r="H75" s="73">
        <f t="shared" si="22"/>
        <v>0</v>
      </c>
      <c r="I75" s="6"/>
      <c r="J75" s="4"/>
      <c r="K75" s="3">
        <f>L75*D75/1000</f>
        <v>0</v>
      </c>
      <c r="L75" s="2"/>
      <c r="M75" s="73">
        <f>L75/C75</f>
        <v>0</v>
      </c>
      <c r="N75" s="9"/>
      <c r="O75" s="4"/>
      <c r="P75" s="3">
        <f t="shared" ref="P75:P100" si="27">Q75*D75/1000</f>
        <v>0</v>
      </c>
      <c r="Q75" s="2"/>
      <c r="R75" s="76">
        <f t="shared" ref="R75:R100" si="28">Q75/C75</f>
        <v>0</v>
      </c>
      <c r="S75" s="6"/>
      <c r="T75" s="4"/>
      <c r="U75" s="3">
        <f t="shared" si="19"/>
        <v>0</v>
      </c>
      <c r="V75" s="2"/>
      <c r="W75" s="73">
        <f t="shared" si="20"/>
        <v>0</v>
      </c>
      <c r="X75" s="6"/>
      <c r="Y75" s="4"/>
      <c r="Z75" s="4"/>
      <c r="AA75" s="73">
        <f t="shared" si="13"/>
        <v>0</v>
      </c>
      <c r="AB75" s="4"/>
      <c r="AC75" s="4"/>
      <c r="AD75" s="13"/>
      <c r="AE75" s="4"/>
      <c r="AF75" s="10">
        <f t="shared" ref="AF75:AF134" si="29">I75+N75+S75+X75+AB75+AE75</f>
        <v>0</v>
      </c>
      <c r="AG75" s="12">
        <f t="shared" si="17"/>
        <v>0</v>
      </c>
      <c r="AH75" s="11">
        <f t="shared" si="23"/>
        <v>0</v>
      </c>
      <c r="AI75" s="12">
        <f>AH75/C75</f>
        <v>0</v>
      </c>
      <c r="AJ75" s="24"/>
      <c r="AK75" s="39" t="s">
        <v>160</v>
      </c>
    </row>
    <row r="76" spans="1:37" x14ac:dyDescent="0.25">
      <c r="A76" s="24">
        <v>70</v>
      </c>
      <c r="B76" s="39" t="s">
        <v>124</v>
      </c>
      <c r="C76" s="1">
        <v>1.6</v>
      </c>
      <c r="D76" s="1">
        <v>146</v>
      </c>
      <c r="E76" s="2"/>
      <c r="F76" s="3">
        <f t="shared" si="21"/>
        <v>0</v>
      </c>
      <c r="G76" s="2"/>
      <c r="H76" s="73">
        <f t="shared" si="22"/>
        <v>0</v>
      </c>
      <c r="I76" s="6"/>
      <c r="J76" s="4"/>
      <c r="K76" s="3">
        <f>L76*D76/1000</f>
        <v>0</v>
      </c>
      <c r="L76" s="2"/>
      <c r="M76" s="73">
        <f>L76/C76</f>
        <v>0</v>
      </c>
      <c r="N76" s="9"/>
      <c r="O76" s="4"/>
      <c r="P76" s="3">
        <f t="shared" si="27"/>
        <v>0</v>
      </c>
      <c r="Q76" s="2"/>
      <c r="R76" s="76">
        <f t="shared" si="28"/>
        <v>0</v>
      </c>
      <c r="S76" s="6"/>
      <c r="T76" s="4"/>
      <c r="U76" s="3">
        <f t="shared" si="19"/>
        <v>0</v>
      </c>
      <c r="V76" s="2"/>
      <c r="W76" s="73">
        <f t="shared" si="20"/>
        <v>0</v>
      </c>
      <c r="X76" s="6"/>
      <c r="Y76" s="4" t="s">
        <v>133</v>
      </c>
      <c r="Z76" s="4">
        <v>16</v>
      </c>
      <c r="AA76" s="73">
        <f>Z76/C76</f>
        <v>10</v>
      </c>
      <c r="AB76" s="4">
        <v>320</v>
      </c>
      <c r="AC76" s="4">
        <v>1600</v>
      </c>
      <c r="AD76" s="13">
        <v>800</v>
      </c>
      <c r="AE76" s="4">
        <v>1280</v>
      </c>
      <c r="AF76" s="10">
        <f t="shared" si="29"/>
        <v>1600</v>
      </c>
      <c r="AG76" s="12">
        <f t="shared" si="17"/>
        <v>1000</v>
      </c>
      <c r="AH76" s="11">
        <f>G76*3.7+L76*3.7+Q76*4.2+V76*7.5+Z76*20+AE76</f>
        <v>1600</v>
      </c>
      <c r="AI76" s="12">
        <f t="shared" si="10"/>
        <v>1000</v>
      </c>
      <c r="AJ76" s="24"/>
      <c r="AK76" s="39" t="s">
        <v>124</v>
      </c>
    </row>
    <row r="77" spans="1:37" x14ac:dyDescent="0.25">
      <c r="A77" s="1"/>
      <c r="B77" s="42" t="s">
        <v>42</v>
      </c>
      <c r="C77" s="64">
        <v>1.9</v>
      </c>
      <c r="D77" s="28">
        <f>SUM(D7:D76)</f>
        <v>16664.3</v>
      </c>
      <c r="E77" s="64" t="s">
        <v>112</v>
      </c>
      <c r="F77" s="28">
        <f>SUM(F7:F76)</f>
        <v>5957.0875000000005</v>
      </c>
      <c r="G77" s="64">
        <f>F77/15616.8*1000</f>
        <v>381.45378694739003</v>
      </c>
      <c r="H77" s="64">
        <f>G77/C77</f>
        <v>200.76515102494213</v>
      </c>
      <c r="I77" s="64">
        <f>SUM(I7:I76)/46</f>
        <v>1294.6543478260869</v>
      </c>
      <c r="J77" s="64" t="s">
        <v>112</v>
      </c>
      <c r="K77" s="64">
        <f>SUM(K7:K76)</f>
        <v>619.17100000000005</v>
      </c>
      <c r="L77" s="64">
        <f>K77/6141.1*1000</f>
        <v>100.82411945742619</v>
      </c>
      <c r="M77" s="64">
        <f>L77/C77</f>
        <v>53.065326030224313</v>
      </c>
      <c r="N77" s="64">
        <f>SUM(N7:N76)/10</f>
        <v>334.95</v>
      </c>
      <c r="O77" s="64" t="s">
        <v>112</v>
      </c>
      <c r="P77" s="64">
        <f>SUM(P7:P76)</f>
        <v>1035.8390000000002</v>
      </c>
      <c r="Q77" s="28">
        <f>P77/6229*1000</f>
        <v>166.292984427677</v>
      </c>
      <c r="R77" s="28">
        <f>Q77/C77</f>
        <v>87.522623382987902</v>
      </c>
      <c r="S77" s="28">
        <f>SUM(S7:S76)/16</f>
        <v>891.5625</v>
      </c>
      <c r="T77" s="27" t="s">
        <v>112</v>
      </c>
      <c r="U77" s="28">
        <f>SUM(U7:U76)</f>
        <v>1408.9289999999999</v>
      </c>
      <c r="V77" s="28">
        <f>U77/14860.8*1000</f>
        <v>94.808422157622743</v>
      </c>
      <c r="W77" s="28">
        <f>V77/C77</f>
        <v>49.89916955664355</v>
      </c>
      <c r="X77" s="28">
        <f>SUM(X7:X76)/45</f>
        <v>644.28444444444438</v>
      </c>
      <c r="Y77" s="28" t="s">
        <v>112</v>
      </c>
      <c r="Z77" s="64" t="s">
        <v>46</v>
      </c>
      <c r="AA77" s="28" t="s">
        <v>112</v>
      </c>
      <c r="AB77" s="64" t="s">
        <v>112</v>
      </c>
      <c r="AC77" s="64" t="s">
        <v>46</v>
      </c>
      <c r="AD77" s="64" t="s">
        <v>46</v>
      </c>
      <c r="AE77" s="64" t="s">
        <v>46</v>
      </c>
      <c r="AF77" s="28">
        <f>SUM(AF7:AF76)/58</f>
        <v>2275.7482758620695</v>
      </c>
      <c r="AG77" s="28">
        <f t="shared" si="17"/>
        <v>1197.7622504537208</v>
      </c>
      <c r="AH77" s="28">
        <f>SUM(AH7:AH76)/58</f>
        <v>2736.4594827586207</v>
      </c>
      <c r="AI77" s="28">
        <f>AH77/C77</f>
        <v>1440.2418330308531</v>
      </c>
      <c r="AJ77" s="64"/>
      <c r="AK77" s="64" t="s">
        <v>42</v>
      </c>
    </row>
    <row r="78" spans="1:37" x14ac:dyDescent="0.25">
      <c r="A78" s="14">
        <v>1</v>
      </c>
      <c r="B78" s="39" t="s">
        <v>135</v>
      </c>
      <c r="C78" s="80">
        <v>0.99</v>
      </c>
      <c r="D78" s="1">
        <v>860</v>
      </c>
      <c r="E78" s="2"/>
      <c r="F78" s="3">
        <f t="shared" ref="F78:F104" si="30">G78*D78/1000</f>
        <v>0</v>
      </c>
      <c r="G78" s="2"/>
      <c r="H78" s="73">
        <f t="shared" ref="H78:H132" si="31">G78/C78</f>
        <v>0</v>
      </c>
      <c r="I78" s="6"/>
      <c r="J78" s="4"/>
      <c r="K78" s="3">
        <f t="shared" ref="K78:K109" si="32">L78*D78/1000</f>
        <v>0</v>
      </c>
      <c r="L78" s="2"/>
      <c r="M78" s="73">
        <f>L78/C78</f>
        <v>0</v>
      </c>
      <c r="N78" s="9"/>
      <c r="O78" s="4"/>
      <c r="P78" s="3">
        <f t="shared" ref="P78:P109" si="33">Q78*D78/1000</f>
        <v>0</v>
      </c>
      <c r="Q78" s="2"/>
      <c r="R78" s="76">
        <f t="shared" ref="R78:R132" si="34">Q78/C78</f>
        <v>0</v>
      </c>
      <c r="S78" s="6"/>
      <c r="T78" s="4"/>
      <c r="U78" s="3">
        <f t="shared" ref="U78:U109" si="35">V78*D78/1000</f>
        <v>0</v>
      </c>
      <c r="V78" s="2"/>
      <c r="W78" s="73">
        <f t="shared" si="8"/>
        <v>0</v>
      </c>
      <c r="X78" s="6"/>
      <c r="Y78" s="4" t="s">
        <v>137</v>
      </c>
      <c r="Z78" s="4"/>
      <c r="AA78" s="73">
        <f>Z78/C78</f>
        <v>0</v>
      </c>
      <c r="AB78" s="4">
        <v>1808</v>
      </c>
      <c r="AC78" s="4">
        <v>1192128</v>
      </c>
      <c r="AD78" s="13">
        <f>AE78/C78</f>
        <v>0</v>
      </c>
      <c r="AE78" s="4">
        <v>0</v>
      </c>
      <c r="AF78" s="13">
        <f t="shared" ref="AF78:AF109" si="36">I78+N78+S78+X78+AB78+AE78</f>
        <v>1808</v>
      </c>
      <c r="AG78" s="9">
        <f t="shared" si="17"/>
        <v>1826.2626262626263</v>
      </c>
      <c r="AH78" s="12">
        <f>AB78</f>
        <v>1808</v>
      </c>
      <c r="AI78" s="12">
        <f t="shared" ref="AI78:AI109" si="37">AH78/C78</f>
        <v>1826.2626262626263</v>
      </c>
      <c r="AJ78" s="24">
        <v>1</v>
      </c>
      <c r="AK78" s="39" t="s">
        <v>135</v>
      </c>
    </row>
    <row r="79" spans="1:37" x14ac:dyDescent="0.25">
      <c r="A79" s="14">
        <v>2</v>
      </c>
      <c r="B79" s="17" t="s">
        <v>179</v>
      </c>
      <c r="C79" s="1">
        <v>1.85</v>
      </c>
      <c r="D79" s="1">
        <v>36</v>
      </c>
      <c r="E79" s="2">
        <v>300</v>
      </c>
      <c r="F79" s="3">
        <f t="shared" si="30"/>
        <v>10.8</v>
      </c>
      <c r="G79" s="2">
        <v>300</v>
      </c>
      <c r="H79" s="73">
        <f t="shared" si="31"/>
        <v>162.16216216216216</v>
      </c>
      <c r="I79" s="6">
        <v>990</v>
      </c>
      <c r="J79" s="4"/>
      <c r="K79" s="3">
        <f t="shared" si="32"/>
        <v>0</v>
      </c>
      <c r="L79" s="2"/>
      <c r="M79" s="73">
        <f t="shared" ref="M79:M132" si="38">L79/C79</f>
        <v>0</v>
      </c>
      <c r="N79" s="9"/>
      <c r="O79" s="4">
        <v>100</v>
      </c>
      <c r="P79" s="3">
        <f t="shared" si="33"/>
        <v>3.6</v>
      </c>
      <c r="Q79" s="2">
        <v>100</v>
      </c>
      <c r="R79" s="76">
        <f t="shared" si="34"/>
        <v>54.054054054054049</v>
      </c>
      <c r="S79" s="4">
        <v>450</v>
      </c>
      <c r="T79" s="4">
        <v>70</v>
      </c>
      <c r="U79" s="3">
        <f t="shared" si="35"/>
        <v>2.52</v>
      </c>
      <c r="V79" s="2">
        <v>70</v>
      </c>
      <c r="W79" s="73">
        <f t="shared" si="8"/>
        <v>37.837837837837839</v>
      </c>
      <c r="X79" s="6">
        <v>350</v>
      </c>
      <c r="Y79" s="4"/>
      <c r="Z79" s="4"/>
      <c r="AA79" s="73">
        <f t="shared" ref="AA79:AA132" si="39">Z79/C79</f>
        <v>0</v>
      </c>
      <c r="AB79" s="4"/>
      <c r="AC79" s="4"/>
      <c r="AD79" s="13">
        <f t="shared" ref="AD79:AD89" si="40">AE79/C79</f>
        <v>0</v>
      </c>
      <c r="AE79" s="4"/>
      <c r="AF79" s="13">
        <f t="shared" si="36"/>
        <v>1790</v>
      </c>
      <c r="AG79" s="9">
        <f t="shared" si="17"/>
        <v>967.56756756756749</v>
      </c>
      <c r="AH79" s="11">
        <f>G79*3.7+L79*3.7+Q79*4.2+V79*7.5+Z79+AE79</f>
        <v>2055</v>
      </c>
      <c r="AI79" s="12">
        <f t="shared" si="37"/>
        <v>1110.8108108108108</v>
      </c>
      <c r="AJ79" s="24">
        <v>2</v>
      </c>
      <c r="AK79" s="17" t="s">
        <v>179</v>
      </c>
    </row>
    <row r="80" spans="1:37" x14ac:dyDescent="0.25">
      <c r="A80" s="14">
        <v>3</v>
      </c>
      <c r="B80" s="17" t="s">
        <v>110</v>
      </c>
      <c r="C80" s="1">
        <v>0.68</v>
      </c>
      <c r="D80" s="1">
        <v>300</v>
      </c>
      <c r="E80" s="2">
        <v>110</v>
      </c>
      <c r="F80" s="3">
        <f t="shared" si="30"/>
        <v>33</v>
      </c>
      <c r="G80" s="2">
        <v>110</v>
      </c>
      <c r="H80" s="73">
        <f t="shared" si="31"/>
        <v>161.76470588235293</v>
      </c>
      <c r="I80" s="6">
        <v>363</v>
      </c>
      <c r="J80" s="4"/>
      <c r="K80" s="3">
        <f t="shared" si="32"/>
        <v>0</v>
      </c>
      <c r="L80" s="2"/>
      <c r="M80" s="73">
        <f t="shared" si="38"/>
        <v>0</v>
      </c>
      <c r="N80" s="9"/>
      <c r="O80" s="4">
        <v>33</v>
      </c>
      <c r="P80" s="3">
        <f t="shared" si="33"/>
        <v>9.9</v>
      </c>
      <c r="Q80" s="2">
        <v>33</v>
      </c>
      <c r="R80" s="76">
        <f t="shared" si="34"/>
        <v>48.529411764705877</v>
      </c>
      <c r="S80" s="4">
        <v>148</v>
      </c>
      <c r="T80" s="4">
        <v>26</v>
      </c>
      <c r="U80" s="3">
        <f t="shared" si="35"/>
        <v>7.8</v>
      </c>
      <c r="V80" s="2">
        <v>26</v>
      </c>
      <c r="W80" s="73">
        <f t="shared" si="8"/>
        <v>38.235294117647058</v>
      </c>
      <c r="X80" s="6">
        <v>130</v>
      </c>
      <c r="Y80" s="4"/>
      <c r="Z80" s="4"/>
      <c r="AA80" s="73">
        <f t="shared" si="39"/>
        <v>0</v>
      </c>
      <c r="AB80" s="4"/>
      <c r="AC80" s="4"/>
      <c r="AD80" s="13">
        <f t="shared" si="40"/>
        <v>0</v>
      </c>
      <c r="AE80" s="4"/>
      <c r="AF80" s="13">
        <f t="shared" si="36"/>
        <v>641</v>
      </c>
      <c r="AG80" s="9">
        <f t="shared" si="17"/>
        <v>942.64705882352939</v>
      </c>
      <c r="AH80" s="11">
        <f>G80*3.7+L80*3.7+Q80*4.2+V80*7.5+Z80+AE80</f>
        <v>740.6</v>
      </c>
      <c r="AI80" s="12">
        <f t="shared" si="37"/>
        <v>1089.1176470588234</v>
      </c>
      <c r="AJ80" s="24">
        <v>3</v>
      </c>
      <c r="AK80" s="17" t="s">
        <v>110</v>
      </c>
    </row>
    <row r="81" spans="1:37" x14ac:dyDescent="0.25">
      <c r="A81" s="14">
        <v>4</v>
      </c>
      <c r="B81" s="40" t="s">
        <v>86</v>
      </c>
      <c r="C81" s="1">
        <v>2.38</v>
      </c>
      <c r="D81" s="1">
        <v>830</v>
      </c>
      <c r="E81" s="2">
        <v>400</v>
      </c>
      <c r="F81" s="3">
        <f t="shared" si="30"/>
        <v>249</v>
      </c>
      <c r="G81" s="2">
        <v>300</v>
      </c>
      <c r="H81" s="73">
        <f t="shared" si="31"/>
        <v>126.05042016806723</v>
      </c>
      <c r="I81" s="6">
        <v>1050</v>
      </c>
      <c r="J81" s="4"/>
      <c r="K81" s="3">
        <f t="shared" si="32"/>
        <v>0</v>
      </c>
      <c r="L81" s="2"/>
      <c r="M81" s="73">
        <f t="shared" si="38"/>
        <v>0</v>
      </c>
      <c r="N81" s="4"/>
      <c r="O81" s="4">
        <v>400</v>
      </c>
      <c r="P81" s="3">
        <f t="shared" si="33"/>
        <v>0</v>
      </c>
      <c r="Q81" s="2"/>
      <c r="R81" s="76">
        <f t="shared" si="34"/>
        <v>0</v>
      </c>
      <c r="S81" s="4"/>
      <c r="T81" s="4">
        <v>100</v>
      </c>
      <c r="U81" s="3">
        <f t="shared" si="35"/>
        <v>41.5</v>
      </c>
      <c r="V81" s="2">
        <v>50</v>
      </c>
      <c r="W81" s="73">
        <f t="shared" si="8"/>
        <v>21.008403361344538</v>
      </c>
      <c r="X81" s="6">
        <v>360</v>
      </c>
      <c r="Y81" s="4" t="s">
        <v>39</v>
      </c>
      <c r="Z81" s="4">
        <v>100</v>
      </c>
      <c r="AA81" s="73">
        <f t="shared" si="39"/>
        <v>42.016806722689076</v>
      </c>
      <c r="AB81" s="4">
        <v>350</v>
      </c>
      <c r="AC81" s="4"/>
      <c r="AD81" s="13">
        <f t="shared" si="40"/>
        <v>0</v>
      </c>
      <c r="AE81" s="4"/>
      <c r="AF81" s="13">
        <f t="shared" si="36"/>
        <v>1760</v>
      </c>
      <c r="AG81" s="9">
        <f t="shared" si="17"/>
        <v>739.49579831932772</v>
      </c>
      <c r="AH81" s="11">
        <f>G81*3.7+L81*3.7+Q81*4.2+V81*7.5+Z81*2.2+AE81</f>
        <v>1705</v>
      </c>
      <c r="AI81" s="12">
        <f t="shared" si="37"/>
        <v>716.38655462184875</v>
      </c>
      <c r="AJ81" s="24">
        <v>4</v>
      </c>
      <c r="AK81" s="40" t="s">
        <v>86</v>
      </c>
    </row>
    <row r="82" spans="1:37" x14ac:dyDescent="0.25">
      <c r="A82" s="14">
        <v>5</v>
      </c>
      <c r="B82" s="17" t="s">
        <v>87</v>
      </c>
      <c r="C82" s="1">
        <v>1.5</v>
      </c>
      <c r="D82" s="1">
        <v>517</v>
      </c>
      <c r="E82" s="2"/>
      <c r="F82" s="3">
        <f t="shared" si="30"/>
        <v>191.29</v>
      </c>
      <c r="G82" s="2">
        <v>370</v>
      </c>
      <c r="H82" s="73">
        <f t="shared" si="31"/>
        <v>246.66666666666666</v>
      </c>
      <c r="I82" s="6">
        <v>1110</v>
      </c>
      <c r="J82" s="4"/>
      <c r="K82" s="3">
        <f t="shared" si="32"/>
        <v>41.36</v>
      </c>
      <c r="L82" s="2">
        <v>80</v>
      </c>
      <c r="M82" s="73">
        <f t="shared" si="38"/>
        <v>53.333333333333336</v>
      </c>
      <c r="N82" s="4">
        <v>208</v>
      </c>
      <c r="O82" s="4"/>
      <c r="P82" s="3">
        <f t="shared" si="33"/>
        <v>51.7</v>
      </c>
      <c r="Q82" s="2">
        <v>100</v>
      </c>
      <c r="R82" s="76">
        <f t="shared" si="34"/>
        <v>66.666666666666671</v>
      </c>
      <c r="S82" s="4">
        <v>300</v>
      </c>
      <c r="T82" s="4"/>
      <c r="U82" s="3">
        <f t="shared" si="35"/>
        <v>51.7</v>
      </c>
      <c r="V82" s="2">
        <v>100</v>
      </c>
      <c r="W82" s="73">
        <f t="shared" si="8"/>
        <v>66.666666666666671</v>
      </c>
      <c r="X82" s="6">
        <v>650</v>
      </c>
      <c r="Y82" s="4" t="s">
        <v>24</v>
      </c>
      <c r="Z82" s="4">
        <v>20</v>
      </c>
      <c r="AA82" s="73">
        <f t="shared" si="39"/>
        <v>13.333333333333334</v>
      </c>
      <c r="AB82" s="4">
        <v>60</v>
      </c>
      <c r="AC82" s="4"/>
      <c r="AD82" s="4">
        <f t="shared" si="40"/>
        <v>0</v>
      </c>
      <c r="AE82" s="4"/>
      <c r="AF82" s="13">
        <f t="shared" si="36"/>
        <v>2328</v>
      </c>
      <c r="AG82" s="9">
        <f t="shared" si="17"/>
        <v>1552</v>
      </c>
      <c r="AH82" s="11">
        <f>G82*3.7+L82*3.7+Q82*4.2+V82*7.5+Z82*5+AE82</f>
        <v>2935</v>
      </c>
      <c r="AI82" s="12">
        <f t="shared" si="37"/>
        <v>1956.6666666666667</v>
      </c>
      <c r="AJ82" s="24">
        <v>5</v>
      </c>
      <c r="AK82" s="17" t="s">
        <v>87</v>
      </c>
    </row>
    <row r="83" spans="1:37" x14ac:dyDescent="0.25">
      <c r="A83" s="14">
        <v>6</v>
      </c>
      <c r="B83" s="17" t="s">
        <v>141</v>
      </c>
      <c r="C83" s="1">
        <v>0.8</v>
      </c>
      <c r="D83" s="1">
        <v>324</v>
      </c>
      <c r="E83" s="2">
        <v>200</v>
      </c>
      <c r="F83" s="3">
        <f t="shared" si="30"/>
        <v>64.8</v>
      </c>
      <c r="G83" s="2">
        <v>200</v>
      </c>
      <c r="H83" s="73">
        <f t="shared" si="31"/>
        <v>250</v>
      </c>
      <c r="I83" s="6">
        <v>500</v>
      </c>
      <c r="J83" s="4">
        <v>60</v>
      </c>
      <c r="K83" s="3">
        <f t="shared" si="32"/>
        <v>19.440000000000001</v>
      </c>
      <c r="L83" s="2">
        <v>60</v>
      </c>
      <c r="M83" s="73">
        <f t="shared" si="38"/>
        <v>75</v>
      </c>
      <c r="N83" s="4">
        <v>150</v>
      </c>
      <c r="O83" s="4">
        <v>100</v>
      </c>
      <c r="P83" s="3">
        <f t="shared" si="33"/>
        <v>32.4</v>
      </c>
      <c r="Q83" s="2">
        <v>100</v>
      </c>
      <c r="R83" s="76">
        <f t="shared" si="34"/>
        <v>125</v>
      </c>
      <c r="S83" s="4">
        <v>250</v>
      </c>
      <c r="T83" s="4">
        <v>60</v>
      </c>
      <c r="U83" s="3">
        <f t="shared" si="35"/>
        <v>19.440000000000001</v>
      </c>
      <c r="V83" s="2">
        <v>60</v>
      </c>
      <c r="W83" s="73">
        <f t="shared" si="8"/>
        <v>75</v>
      </c>
      <c r="X83" s="6">
        <v>390</v>
      </c>
      <c r="Y83" s="4"/>
      <c r="Z83" s="4"/>
      <c r="AA83" s="73">
        <f t="shared" si="39"/>
        <v>0</v>
      </c>
      <c r="AB83" s="4"/>
      <c r="AC83" s="4"/>
      <c r="AD83" s="4">
        <f t="shared" si="40"/>
        <v>0</v>
      </c>
      <c r="AE83" s="4"/>
      <c r="AF83" s="13">
        <f t="shared" si="36"/>
        <v>1290</v>
      </c>
      <c r="AG83" s="9">
        <f t="shared" si="17"/>
        <v>1612.5</v>
      </c>
      <c r="AH83" s="11">
        <f t="shared" ref="AH83:AH109" si="41">G83*3.7+L83*3.7+Q83*4.2+V83*7.5+Z83+AE83</f>
        <v>1832</v>
      </c>
      <c r="AI83" s="12">
        <f t="shared" si="37"/>
        <v>2290</v>
      </c>
      <c r="AJ83" s="24">
        <v>6</v>
      </c>
      <c r="AK83" s="17" t="s">
        <v>141</v>
      </c>
    </row>
    <row r="84" spans="1:37" x14ac:dyDescent="0.25">
      <c r="A84" s="14">
        <v>7</v>
      </c>
      <c r="B84" s="17" t="s">
        <v>88</v>
      </c>
      <c r="C84" s="1">
        <v>1.65</v>
      </c>
      <c r="D84" s="1">
        <v>3958</v>
      </c>
      <c r="E84" s="2"/>
      <c r="F84" s="3">
        <f t="shared" si="30"/>
        <v>1187.4000000000001</v>
      </c>
      <c r="G84" s="2">
        <v>300</v>
      </c>
      <c r="H84" s="73">
        <f t="shared" si="31"/>
        <v>181.81818181818184</v>
      </c>
      <c r="I84" s="6">
        <v>1110</v>
      </c>
      <c r="J84" s="4"/>
      <c r="K84" s="3">
        <f t="shared" si="32"/>
        <v>197.9</v>
      </c>
      <c r="L84" s="2">
        <v>50</v>
      </c>
      <c r="M84" s="73">
        <f t="shared" si="38"/>
        <v>30.303030303030305</v>
      </c>
      <c r="N84" s="4">
        <v>175</v>
      </c>
      <c r="O84" s="4"/>
      <c r="P84" s="3">
        <f t="shared" si="33"/>
        <v>0</v>
      </c>
      <c r="Q84" s="2"/>
      <c r="R84" s="76">
        <f t="shared" si="34"/>
        <v>0</v>
      </c>
      <c r="S84" s="6"/>
      <c r="T84" s="4"/>
      <c r="U84" s="3">
        <f t="shared" si="35"/>
        <v>118.74</v>
      </c>
      <c r="V84" s="2">
        <v>30</v>
      </c>
      <c r="W84" s="73">
        <f t="shared" si="8"/>
        <v>18.181818181818183</v>
      </c>
      <c r="X84" s="6">
        <v>225</v>
      </c>
      <c r="Y84" s="4"/>
      <c r="Z84" s="4"/>
      <c r="AA84" s="73">
        <f t="shared" si="39"/>
        <v>0</v>
      </c>
      <c r="AB84" s="4"/>
      <c r="AC84" s="4"/>
      <c r="AD84" s="4">
        <f t="shared" si="40"/>
        <v>0</v>
      </c>
      <c r="AE84" s="4"/>
      <c r="AF84" s="10">
        <f t="shared" si="36"/>
        <v>1510</v>
      </c>
      <c r="AG84" s="9">
        <f t="shared" si="17"/>
        <v>915.15151515151524</v>
      </c>
      <c r="AH84" s="11">
        <f t="shared" si="41"/>
        <v>1520</v>
      </c>
      <c r="AI84" s="12">
        <f t="shared" si="37"/>
        <v>921.21212121212125</v>
      </c>
      <c r="AJ84" s="24">
        <v>7</v>
      </c>
      <c r="AK84" s="17" t="s">
        <v>88</v>
      </c>
    </row>
    <row r="85" spans="1:37" x14ac:dyDescent="0.25">
      <c r="A85" s="14">
        <v>8</v>
      </c>
      <c r="B85" s="17" t="s">
        <v>89</v>
      </c>
      <c r="C85" s="1">
        <v>2.2000000000000002</v>
      </c>
      <c r="D85" s="1">
        <v>760</v>
      </c>
      <c r="E85" s="2">
        <v>300</v>
      </c>
      <c r="F85" s="3">
        <f t="shared" si="30"/>
        <v>228</v>
      </c>
      <c r="G85" s="2">
        <v>300</v>
      </c>
      <c r="H85" s="73">
        <f t="shared" si="31"/>
        <v>136.36363636363635</v>
      </c>
      <c r="I85" s="6">
        <v>1200</v>
      </c>
      <c r="J85" s="4">
        <v>150</v>
      </c>
      <c r="K85" s="3">
        <f t="shared" si="32"/>
        <v>114</v>
      </c>
      <c r="L85" s="2">
        <v>150</v>
      </c>
      <c r="M85" s="73">
        <f t="shared" si="38"/>
        <v>68.181818181818173</v>
      </c>
      <c r="N85" s="4">
        <v>540</v>
      </c>
      <c r="O85" s="4">
        <v>154</v>
      </c>
      <c r="P85" s="3">
        <f t="shared" si="33"/>
        <v>152</v>
      </c>
      <c r="Q85" s="2">
        <v>200</v>
      </c>
      <c r="R85" s="76">
        <f t="shared" si="34"/>
        <v>90.909090909090907</v>
      </c>
      <c r="S85" s="6">
        <v>840</v>
      </c>
      <c r="T85" s="4">
        <v>151</v>
      </c>
      <c r="U85" s="3">
        <f t="shared" si="35"/>
        <v>98.8</v>
      </c>
      <c r="V85" s="2">
        <v>130</v>
      </c>
      <c r="W85" s="73">
        <f t="shared" si="8"/>
        <v>59.090909090909086</v>
      </c>
      <c r="X85" s="6">
        <v>1118</v>
      </c>
      <c r="Y85" s="4"/>
      <c r="Z85" s="4"/>
      <c r="AA85" s="73">
        <f t="shared" si="39"/>
        <v>0</v>
      </c>
      <c r="AB85" s="4"/>
      <c r="AC85" s="4"/>
      <c r="AD85" s="4">
        <f t="shared" si="40"/>
        <v>0</v>
      </c>
      <c r="AE85" s="4"/>
      <c r="AF85" s="13">
        <f>I85+N85+S85+X85+AB85+AE85</f>
        <v>3698</v>
      </c>
      <c r="AG85" s="9">
        <f t="shared" si="17"/>
        <v>1680.9090909090908</v>
      </c>
      <c r="AH85" s="11">
        <f t="shared" si="41"/>
        <v>3480</v>
      </c>
      <c r="AI85" s="12">
        <f t="shared" si="37"/>
        <v>1581.8181818181818</v>
      </c>
      <c r="AJ85" s="24">
        <v>8</v>
      </c>
      <c r="AK85" s="17" t="s">
        <v>89</v>
      </c>
    </row>
    <row r="86" spans="1:37" ht="25.5" customHeight="1" x14ac:dyDescent="0.25">
      <c r="A86" s="14">
        <v>9</v>
      </c>
      <c r="B86" s="29" t="s">
        <v>90</v>
      </c>
      <c r="C86" s="1">
        <v>1</v>
      </c>
      <c r="D86" s="1">
        <v>139</v>
      </c>
      <c r="E86" s="2"/>
      <c r="F86" s="3">
        <f t="shared" si="30"/>
        <v>0</v>
      </c>
      <c r="G86" s="2"/>
      <c r="H86" s="73">
        <f t="shared" si="31"/>
        <v>0</v>
      </c>
      <c r="I86" s="6"/>
      <c r="J86" s="4"/>
      <c r="K86" s="3">
        <f t="shared" si="32"/>
        <v>0</v>
      </c>
      <c r="L86" s="2"/>
      <c r="M86" s="73">
        <f t="shared" si="38"/>
        <v>0</v>
      </c>
      <c r="N86" s="4"/>
      <c r="O86" s="4"/>
      <c r="P86" s="3">
        <f t="shared" si="33"/>
        <v>13.9</v>
      </c>
      <c r="Q86" s="2">
        <v>100</v>
      </c>
      <c r="R86" s="76">
        <f>Q86/C86</f>
        <v>100</v>
      </c>
      <c r="S86" s="4">
        <v>400</v>
      </c>
      <c r="T86" s="4"/>
      <c r="U86" s="3">
        <f t="shared" si="35"/>
        <v>6.95</v>
      </c>
      <c r="V86" s="2">
        <v>50</v>
      </c>
      <c r="W86" s="73">
        <f t="shared" si="8"/>
        <v>50</v>
      </c>
      <c r="X86" s="6">
        <v>400</v>
      </c>
      <c r="Y86" s="9"/>
      <c r="Z86" s="4"/>
      <c r="AA86" s="73">
        <f t="shared" si="39"/>
        <v>0</v>
      </c>
      <c r="AB86" s="4"/>
      <c r="AC86" s="4"/>
      <c r="AD86" s="4">
        <f t="shared" si="40"/>
        <v>0</v>
      </c>
      <c r="AE86" s="4"/>
      <c r="AF86" s="10">
        <f t="shared" si="36"/>
        <v>800</v>
      </c>
      <c r="AG86" s="9">
        <f t="shared" si="17"/>
        <v>800</v>
      </c>
      <c r="AH86" s="11">
        <f t="shared" si="41"/>
        <v>795</v>
      </c>
      <c r="AI86" s="12">
        <f t="shared" si="37"/>
        <v>795</v>
      </c>
      <c r="AJ86" s="24">
        <v>9</v>
      </c>
      <c r="AK86" s="29" t="s">
        <v>90</v>
      </c>
    </row>
    <row r="87" spans="1:37" x14ac:dyDescent="0.25">
      <c r="A87" s="14">
        <v>10</v>
      </c>
      <c r="B87" s="17" t="s">
        <v>91</v>
      </c>
      <c r="C87" s="1">
        <v>1.6</v>
      </c>
      <c r="D87" s="1">
        <v>472</v>
      </c>
      <c r="E87" s="2"/>
      <c r="F87" s="3">
        <f t="shared" si="30"/>
        <v>0</v>
      </c>
      <c r="G87" s="2"/>
      <c r="H87" s="73">
        <f t="shared" si="31"/>
        <v>0</v>
      </c>
      <c r="I87" s="6"/>
      <c r="J87" s="4"/>
      <c r="K87" s="3">
        <f t="shared" si="32"/>
        <v>0</v>
      </c>
      <c r="L87" s="2"/>
      <c r="M87" s="73">
        <f t="shared" si="38"/>
        <v>0</v>
      </c>
      <c r="N87" s="9"/>
      <c r="O87" s="4"/>
      <c r="P87" s="3">
        <f t="shared" si="33"/>
        <v>70.8</v>
      </c>
      <c r="Q87" s="2">
        <v>150</v>
      </c>
      <c r="R87" s="76">
        <f t="shared" si="34"/>
        <v>93.75</v>
      </c>
      <c r="S87" s="4">
        <v>600</v>
      </c>
      <c r="T87" s="4"/>
      <c r="U87" s="3">
        <f t="shared" si="35"/>
        <v>35.4</v>
      </c>
      <c r="V87" s="4">
        <v>75</v>
      </c>
      <c r="W87" s="73">
        <f t="shared" si="8"/>
        <v>46.875</v>
      </c>
      <c r="X87" s="4">
        <v>600</v>
      </c>
      <c r="Y87" s="4"/>
      <c r="Z87" s="4"/>
      <c r="AA87" s="73">
        <f t="shared" si="39"/>
        <v>0</v>
      </c>
      <c r="AB87" s="4"/>
      <c r="AC87" s="4"/>
      <c r="AD87" s="4">
        <f t="shared" si="40"/>
        <v>0</v>
      </c>
      <c r="AE87" s="4"/>
      <c r="AF87" s="10">
        <f t="shared" si="36"/>
        <v>1200</v>
      </c>
      <c r="AG87" s="9">
        <f t="shared" si="17"/>
        <v>750</v>
      </c>
      <c r="AH87" s="11">
        <f t="shared" si="41"/>
        <v>1192.5</v>
      </c>
      <c r="AI87" s="12">
        <f t="shared" si="37"/>
        <v>745.3125</v>
      </c>
      <c r="AJ87" s="24">
        <v>10</v>
      </c>
      <c r="AK87" s="17" t="s">
        <v>91</v>
      </c>
    </row>
    <row r="88" spans="1:37" x14ac:dyDescent="0.25">
      <c r="A88" s="14">
        <v>11</v>
      </c>
      <c r="B88" s="40" t="s">
        <v>92</v>
      </c>
      <c r="C88" s="1">
        <v>1.17</v>
      </c>
      <c r="D88" s="1">
        <v>506</v>
      </c>
      <c r="E88" s="2">
        <v>420</v>
      </c>
      <c r="F88" s="3">
        <f t="shared" si="30"/>
        <v>212.52</v>
      </c>
      <c r="G88" s="2">
        <v>420</v>
      </c>
      <c r="H88" s="73">
        <f>G88/C88</f>
        <v>358.97435897435901</v>
      </c>
      <c r="I88" s="6">
        <v>966</v>
      </c>
      <c r="J88" s="4">
        <v>50</v>
      </c>
      <c r="K88" s="3">
        <f t="shared" si="32"/>
        <v>25.3</v>
      </c>
      <c r="L88" s="2">
        <v>50</v>
      </c>
      <c r="M88" s="73">
        <f t="shared" si="38"/>
        <v>42.73504273504274</v>
      </c>
      <c r="N88" s="9">
        <v>115</v>
      </c>
      <c r="O88" s="4" t="s">
        <v>180</v>
      </c>
      <c r="P88" s="3">
        <f t="shared" si="33"/>
        <v>0</v>
      </c>
      <c r="Q88" s="2"/>
      <c r="R88" s="76">
        <f t="shared" si="34"/>
        <v>0</v>
      </c>
      <c r="S88" s="4"/>
      <c r="T88" s="4">
        <v>70</v>
      </c>
      <c r="U88" s="3">
        <f t="shared" si="35"/>
        <v>35.42</v>
      </c>
      <c r="V88" s="4">
        <v>70</v>
      </c>
      <c r="W88" s="73">
        <f t="shared" ref="W88:W132" si="42">V88/C88</f>
        <v>59.82905982905983</v>
      </c>
      <c r="X88" s="4">
        <v>280</v>
      </c>
      <c r="Y88" s="4"/>
      <c r="Z88" s="4"/>
      <c r="AA88" s="73">
        <f t="shared" si="39"/>
        <v>0</v>
      </c>
      <c r="AB88" s="4"/>
      <c r="AC88" s="4"/>
      <c r="AD88" s="4">
        <f t="shared" si="40"/>
        <v>0</v>
      </c>
      <c r="AE88" s="4"/>
      <c r="AF88" s="10">
        <f t="shared" si="36"/>
        <v>1361</v>
      </c>
      <c r="AG88" s="9">
        <f t="shared" si="17"/>
        <v>1163.2478632478633</v>
      </c>
      <c r="AH88" s="11">
        <f t="shared" si="41"/>
        <v>2264</v>
      </c>
      <c r="AI88" s="12">
        <f t="shared" si="37"/>
        <v>1935.0427350427351</v>
      </c>
      <c r="AJ88" s="24">
        <v>11</v>
      </c>
      <c r="AK88" s="40" t="s">
        <v>92</v>
      </c>
    </row>
    <row r="89" spans="1:37" x14ac:dyDescent="0.25">
      <c r="A89" s="14">
        <v>12</v>
      </c>
      <c r="B89" s="17" t="s">
        <v>93</v>
      </c>
      <c r="C89" s="1">
        <v>1.48</v>
      </c>
      <c r="D89" s="1">
        <v>246</v>
      </c>
      <c r="E89" s="2">
        <v>208</v>
      </c>
      <c r="F89" s="3">
        <f t="shared" si="30"/>
        <v>98.4</v>
      </c>
      <c r="G89" s="2">
        <v>400</v>
      </c>
      <c r="H89" s="73">
        <f t="shared" si="31"/>
        <v>270.27027027027026</v>
      </c>
      <c r="I89" s="6">
        <v>1000</v>
      </c>
      <c r="J89" s="4">
        <v>12</v>
      </c>
      <c r="K89" s="3">
        <f t="shared" si="32"/>
        <v>24.6</v>
      </c>
      <c r="L89" s="2">
        <v>100</v>
      </c>
      <c r="M89" s="73">
        <f t="shared" si="38"/>
        <v>67.567567567567565</v>
      </c>
      <c r="N89" s="9">
        <v>240</v>
      </c>
      <c r="O89" s="4">
        <v>38</v>
      </c>
      <c r="P89" s="3">
        <f t="shared" si="33"/>
        <v>24.6</v>
      </c>
      <c r="Q89" s="2">
        <v>100</v>
      </c>
      <c r="R89" s="76">
        <f t="shared" si="34"/>
        <v>67.567567567567565</v>
      </c>
      <c r="S89" s="4">
        <v>300</v>
      </c>
      <c r="T89" s="4">
        <v>56</v>
      </c>
      <c r="U89" s="3">
        <f t="shared" si="35"/>
        <v>24.6</v>
      </c>
      <c r="V89" s="4">
        <v>100</v>
      </c>
      <c r="W89" s="73">
        <f t="shared" si="42"/>
        <v>67.567567567567565</v>
      </c>
      <c r="X89" s="4">
        <v>650</v>
      </c>
      <c r="Y89" s="4"/>
      <c r="Z89" s="4"/>
      <c r="AA89" s="73">
        <f t="shared" si="39"/>
        <v>0</v>
      </c>
      <c r="AB89" s="4"/>
      <c r="AC89" s="4"/>
      <c r="AD89" s="4">
        <f t="shared" si="40"/>
        <v>0</v>
      </c>
      <c r="AE89" s="4"/>
      <c r="AF89" s="13">
        <f>I89+N89+S89+X89+AB89+AE89</f>
        <v>2190</v>
      </c>
      <c r="AG89" s="9">
        <f t="shared" si="17"/>
        <v>1479.7297297297298</v>
      </c>
      <c r="AH89" s="11">
        <f t="shared" si="41"/>
        <v>3020</v>
      </c>
      <c r="AI89" s="12">
        <f t="shared" si="37"/>
        <v>2040.5405405405406</v>
      </c>
      <c r="AJ89" s="24">
        <v>12</v>
      </c>
      <c r="AK89" s="17" t="s">
        <v>93</v>
      </c>
    </row>
    <row r="90" spans="1:37" x14ac:dyDescent="0.25">
      <c r="A90" s="14">
        <v>13</v>
      </c>
      <c r="B90" s="17" t="s">
        <v>181</v>
      </c>
      <c r="C90" s="1">
        <v>2.5</v>
      </c>
      <c r="D90" s="1">
        <v>21</v>
      </c>
      <c r="E90" s="2">
        <v>500</v>
      </c>
      <c r="F90" s="3">
        <f t="shared" si="30"/>
        <v>10.5</v>
      </c>
      <c r="G90" s="2">
        <v>500</v>
      </c>
      <c r="H90" s="73">
        <f t="shared" si="31"/>
        <v>200</v>
      </c>
      <c r="I90" s="6">
        <v>1325</v>
      </c>
      <c r="J90" s="4">
        <v>100</v>
      </c>
      <c r="K90" s="3">
        <f t="shared" si="32"/>
        <v>0</v>
      </c>
      <c r="L90" s="2"/>
      <c r="M90" s="73">
        <f t="shared" si="38"/>
        <v>0</v>
      </c>
      <c r="N90" s="4"/>
      <c r="O90" s="4">
        <v>280</v>
      </c>
      <c r="P90" s="3">
        <f t="shared" si="33"/>
        <v>0</v>
      </c>
      <c r="Q90" s="2"/>
      <c r="R90" s="76">
        <f t="shared" si="34"/>
        <v>0</v>
      </c>
      <c r="S90" s="4"/>
      <c r="T90" s="4">
        <v>120</v>
      </c>
      <c r="U90" s="3">
        <f t="shared" si="35"/>
        <v>6.93</v>
      </c>
      <c r="V90" s="4">
        <v>330</v>
      </c>
      <c r="W90" s="73">
        <f t="shared" si="42"/>
        <v>132</v>
      </c>
      <c r="X90" s="4">
        <v>1910</v>
      </c>
      <c r="Y90" s="4"/>
      <c r="Z90" s="4"/>
      <c r="AA90" s="73">
        <f t="shared" si="39"/>
        <v>0</v>
      </c>
      <c r="AB90" s="4"/>
      <c r="AC90" s="4"/>
      <c r="AD90" s="13">
        <f>AE90/C90</f>
        <v>0</v>
      </c>
      <c r="AE90" s="4"/>
      <c r="AF90" s="13">
        <f>I90+N90+S90+X90+AB90+AE90</f>
        <v>3235</v>
      </c>
      <c r="AG90" s="9">
        <f t="shared" si="17"/>
        <v>1294</v>
      </c>
      <c r="AH90" s="11">
        <f t="shared" si="41"/>
        <v>4325</v>
      </c>
      <c r="AI90" s="12">
        <f t="shared" si="37"/>
        <v>1730</v>
      </c>
      <c r="AJ90" s="24">
        <v>13</v>
      </c>
      <c r="AK90" s="17" t="s">
        <v>181</v>
      </c>
    </row>
    <row r="91" spans="1:37" x14ac:dyDescent="0.25">
      <c r="A91" s="14">
        <v>14</v>
      </c>
      <c r="B91" s="17" t="s">
        <v>94</v>
      </c>
      <c r="C91" s="1">
        <v>1.1599999999999999</v>
      </c>
      <c r="D91" s="1">
        <v>195</v>
      </c>
      <c r="E91" s="2">
        <v>250</v>
      </c>
      <c r="F91" s="3">
        <f t="shared" si="30"/>
        <v>48.75</v>
      </c>
      <c r="G91" s="2">
        <v>250</v>
      </c>
      <c r="H91" s="73">
        <f t="shared" si="31"/>
        <v>215.51724137931035</v>
      </c>
      <c r="I91" s="6">
        <v>875</v>
      </c>
      <c r="J91" s="4"/>
      <c r="K91" s="3">
        <f t="shared" si="32"/>
        <v>0</v>
      </c>
      <c r="L91" s="2"/>
      <c r="M91" s="73">
        <f t="shared" si="38"/>
        <v>0</v>
      </c>
      <c r="N91" s="4"/>
      <c r="O91" s="4"/>
      <c r="P91" s="3">
        <f t="shared" si="33"/>
        <v>0</v>
      </c>
      <c r="Q91" s="2"/>
      <c r="R91" s="76">
        <f t="shared" si="34"/>
        <v>0</v>
      </c>
      <c r="S91" s="4"/>
      <c r="T91" s="4">
        <v>50</v>
      </c>
      <c r="U91" s="3">
        <f t="shared" si="35"/>
        <v>9.75</v>
      </c>
      <c r="V91" s="4">
        <v>50</v>
      </c>
      <c r="W91" s="73">
        <f t="shared" si="42"/>
        <v>43.103448275862071</v>
      </c>
      <c r="X91" s="4">
        <v>325</v>
      </c>
      <c r="Y91" s="4"/>
      <c r="Z91" s="4"/>
      <c r="AA91" s="73">
        <f t="shared" si="39"/>
        <v>0</v>
      </c>
      <c r="AB91" s="4"/>
      <c r="AC91" s="4"/>
      <c r="AD91" s="13">
        <f t="shared" ref="AD91:AD110" si="43">AE91/C91</f>
        <v>0</v>
      </c>
      <c r="AE91" s="4"/>
      <c r="AF91" s="10">
        <f t="shared" si="36"/>
        <v>1200</v>
      </c>
      <c r="AG91" s="9">
        <f t="shared" si="17"/>
        <v>1034.4827586206898</v>
      </c>
      <c r="AH91" s="11">
        <f t="shared" si="41"/>
        <v>1300</v>
      </c>
      <c r="AI91" s="12">
        <f t="shared" si="37"/>
        <v>1120.6896551724139</v>
      </c>
      <c r="AJ91" s="24">
        <v>14</v>
      </c>
      <c r="AK91" s="17" t="s">
        <v>94</v>
      </c>
    </row>
    <row r="92" spans="1:37" x14ac:dyDescent="0.25">
      <c r="A92" s="14">
        <v>15</v>
      </c>
      <c r="B92" s="17" t="s">
        <v>95</v>
      </c>
      <c r="C92" s="1">
        <v>0.9</v>
      </c>
      <c r="D92" s="1">
        <v>182</v>
      </c>
      <c r="E92" s="2"/>
      <c r="F92" s="3">
        <f t="shared" si="30"/>
        <v>0</v>
      </c>
      <c r="G92" s="2"/>
      <c r="H92" s="73">
        <f t="shared" si="31"/>
        <v>0</v>
      </c>
      <c r="I92" s="2"/>
      <c r="J92" s="4"/>
      <c r="K92" s="3">
        <f t="shared" si="32"/>
        <v>0</v>
      </c>
      <c r="L92" s="2"/>
      <c r="M92" s="73">
        <f t="shared" si="38"/>
        <v>0</v>
      </c>
      <c r="N92" s="4"/>
      <c r="O92" s="4"/>
      <c r="P92" s="3">
        <f t="shared" si="33"/>
        <v>0</v>
      </c>
      <c r="Q92" s="2"/>
      <c r="R92" s="76">
        <f t="shared" si="34"/>
        <v>0</v>
      </c>
      <c r="S92" s="4"/>
      <c r="T92" s="4">
        <v>45</v>
      </c>
      <c r="U92" s="3">
        <f t="shared" si="35"/>
        <v>8.19</v>
      </c>
      <c r="V92" s="4">
        <v>45</v>
      </c>
      <c r="W92" s="73">
        <f t="shared" si="42"/>
        <v>50</v>
      </c>
      <c r="X92" s="4">
        <v>360</v>
      </c>
      <c r="Y92" s="4"/>
      <c r="Z92" s="4"/>
      <c r="AA92" s="73">
        <f t="shared" si="39"/>
        <v>0</v>
      </c>
      <c r="AB92" s="4"/>
      <c r="AC92" s="4"/>
      <c r="AD92" s="13">
        <f t="shared" si="43"/>
        <v>0</v>
      </c>
      <c r="AE92" s="4"/>
      <c r="AF92" s="10">
        <f t="shared" si="36"/>
        <v>360</v>
      </c>
      <c r="AG92" s="9">
        <f t="shared" si="17"/>
        <v>400</v>
      </c>
      <c r="AH92" s="11">
        <f t="shared" si="41"/>
        <v>337.5</v>
      </c>
      <c r="AI92" s="12">
        <f t="shared" si="37"/>
        <v>375</v>
      </c>
      <c r="AJ92" s="24">
        <v>15</v>
      </c>
      <c r="AK92" s="17" t="s">
        <v>95</v>
      </c>
    </row>
    <row r="93" spans="1:37" x14ac:dyDescent="0.25">
      <c r="A93" s="14">
        <v>16</v>
      </c>
      <c r="B93" s="17" t="s">
        <v>132</v>
      </c>
      <c r="C93" s="1">
        <v>1.6</v>
      </c>
      <c r="D93" s="1">
        <v>566</v>
      </c>
      <c r="E93" s="2"/>
      <c r="F93" s="3">
        <f t="shared" si="30"/>
        <v>0</v>
      </c>
      <c r="G93" s="2"/>
      <c r="H93" s="73">
        <f t="shared" si="31"/>
        <v>0</v>
      </c>
      <c r="I93" s="2"/>
      <c r="J93" s="4"/>
      <c r="K93" s="3">
        <f t="shared" si="32"/>
        <v>0</v>
      </c>
      <c r="L93" s="2"/>
      <c r="M93" s="73">
        <f t="shared" si="38"/>
        <v>0</v>
      </c>
      <c r="N93" s="4"/>
      <c r="O93" s="4"/>
      <c r="P93" s="3">
        <f t="shared" si="33"/>
        <v>0</v>
      </c>
      <c r="Q93" s="2"/>
      <c r="R93" s="76">
        <f t="shared" si="34"/>
        <v>0</v>
      </c>
      <c r="S93" s="4"/>
      <c r="T93" s="4"/>
      <c r="U93" s="3">
        <f t="shared" si="35"/>
        <v>0</v>
      </c>
      <c r="V93" s="4"/>
      <c r="W93" s="73">
        <f t="shared" si="42"/>
        <v>0</v>
      </c>
      <c r="X93" s="4"/>
      <c r="Y93" s="9"/>
      <c r="Z93" s="4"/>
      <c r="AA93" s="73">
        <f t="shared" si="39"/>
        <v>0</v>
      </c>
      <c r="AB93" s="4"/>
      <c r="AC93" s="4">
        <v>1000</v>
      </c>
      <c r="AD93" s="13">
        <f t="shared" si="43"/>
        <v>625</v>
      </c>
      <c r="AE93" s="4">
        <v>1000</v>
      </c>
      <c r="AF93" s="10">
        <f t="shared" si="36"/>
        <v>1000</v>
      </c>
      <c r="AG93" s="9">
        <f t="shared" si="17"/>
        <v>625</v>
      </c>
      <c r="AH93" s="11">
        <f t="shared" si="41"/>
        <v>1000</v>
      </c>
      <c r="AI93" s="12">
        <f t="shared" si="37"/>
        <v>625</v>
      </c>
      <c r="AJ93" s="24">
        <v>16</v>
      </c>
      <c r="AK93" s="65" t="s">
        <v>132</v>
      </c>
    </row>
    <row r="94" spans="1:37" x14ac:dyDescent="0.25">
      <c r="A94" s="14">
        <v>17</v>
      </c>
      <c r="B94" s="40" t="s">
        <v>96</v>
      </c>
      <c r="C94" s="1">
        <v>1</v>
      </c>
      <c r="D94" s="1">
        <v>1000</v>
      </c>
      <c r="E94" s="6">
        <v>370</v>
      </c>
      <c r="F94" s="3">
        <f t="shared" si="30"/>
        <v>350</v>
      </c>
      <c r="G94" s="2">
        <v>350</v>
      </c>
      <c r="H94" s="73">
        <f t="shared" si="31"/>
        <v>350</v>
      </c>
      <c r="I94" s="6">
        <v>788</v>
      </c>
      <c r="J94" s="6"/>
      <c r="K94" s="3">
        <f t="shared" si="32"/>
        <v>120</v>
      </c>
      <c r="L94" s="2">
        <v>120</v>
      </c>
      <c r="M94" s="73">
        <f t="shared" si="38"/>
        <v>120</v>
      </c>
      <c r="N94" s="4">
        <v>270</v>
      </c>
      <c r="O94" s="4" t="s">
        <v>180</v>
      </c>
      <c r="P94" s="3">
        <f t="shared" si="33"/>
        <v>0</v>
      </c>
      <c r="Q94" s="2"/>
      <c r="R94" s="76">
        <f>Q94/C94</f>
        <v>0</v>
      </c>
      <c r="S94" s="4"/>
      <c r="T94" s="6">
        <v>70</v>
      </c>
      <c r="U94" s="3">
        <f t="shared" si="35"/>
        <v>70</v>
      </c>
      <c r="V94" s="4">
        <v>70</v>
      </c>
      <c r="W94" s="73">
        <f t="shared" si="42"/>
        <v>70</v>
      </c>
      <c r="X94" s="4">
        <v>350</v>
      </c>
      <c r="Y94" s="4"/>
      <c r="Z94" s="4"/>
      <c r="AA94" s="73">
        <f t="shared" si="39"/>
        <v>0</v>
      </c>
      <c r="AB94" s="4"/>
      <c r="AC94" s="4"/>
      <c r="AD94" s="13">
        <f t="shared" si="43"/>
        <v>0</v>
      </c>
      <c r="AE94" s="4"/>
      <c r="AF94" s="10">
        <f t="shared" si="36"/>
        <v>1408</v>
      </c>
      <c r="AG94" s="9">
        <f t="shared" si="17"/>
        <v>1408</v>
      </c>
      <c r="AH94" s="11">
        <f t="shared" si="41"/>
        <v>2264</v>
      </c>
      <c r="AI94" s="12">
        <f t="shared" si="37"/>
        <v>2264</v>
      </c>
      <c r="AJ94" s="24">
        <v>17</v>
      </c>
      <c r="AK94" s="40" t="s">
        <v>96</v>
      </c>
    </row>
    <row r="95" spans="1:37" x14ac:dyDescent="0.25">
      <c r="A95" s="14">
        <v>18</v>
      </c>
      <c r="B95" s="40" t="s">
        <v>97</v>
      </c>
      <c r="C95" s="1">
        <v>1.19</v>
      </c>
      <c r="D95" s="1">
        <v>568</v>
      </c>
      <c r="E95" s="6">
        <v>320</v>
      </c>
      <c r="F95" s="3">
        <f t="shared" si="30"/>
        <v>181.76</v>
      </c>
      <c r="G95" s="2">
        <v>320</v>
      </c>
      <c r="H95" s="73">
        <f t="shared" si="31"/>
        <v>268.9075630252101</v>
      </c>
      <c r="I95" s="6">
        <v>800</v>
      </c>
      <c r="J95" s="6">
        <v>50</v>
      </c>
      <c r="K95" s="3">
        <f t="shared" si="32"/>
        <v>28.4</v>
      </c>
      <c r="L95" s="2">
        <v>50</v>
      </c>
      <c r="M95" s="73">
        <f t="shared" si="38"/>
        <v>42.016806722689076</v>
      </c>
      <c r="N95" s="9">
        <v>125</v>
      </c>
      <c r="O95" s="6"/>
      <c r="P95" s="3">
        <f t="shared" si="33"/>
        <v>0</v>
      </c>
      <c r="Q95" s="2"/>
      <c r="R95" s="76">
        <f t="shared" si="34"/>
        <v>0</v>
      </c>
      <c r="S95" s="6"/>
      <c r="T95" s="6">
        <v>70</v>
      </c>
      <c r="U95" s="3">
        <f t="shared" si="35"/>
        <v>39.76</v>
      </c>
      <c r="V95" s="4">
        <v>70</v>
      </c>
      <c r="W95" s="73">
        <f t="shared" si="42"/>
        <v>58.82352941176471</v>
      </c>
      <c r="X95" s="6">
        <v>385</v>
      </c>
      <c r="Y95" s="4"/>
      <c r="Z95" s="4"/>
      <c r="AA95" s="73">
        <f t="shared" si="39"/>
        <v>0</v>
      </c>
      <c r="AB95" s="4"/>
      <c r="AC95" s="4"/>
      <c r="AD95" s="13">
        <f t="shared" si="43"/>
        <v>0</v>
      </c>
      <c r="AE95" s="4"/>
      <c r="AF95" s="10">
        <f t="shared" si="36"/>
        <v>1310</v>
      </c>
      <c r="AG95" s="9">
        <f t="shared" si="17"/>
        <v>1100.8403361344538</v>
      </c>
      <c r="AH95" s="11">
        <f t="shared" si="41"/>
        <v>1894</v>
      </c>
      <c r="AI95" s="12">
        <f t="shared" si="37"/>
        <v>1591.5966386554624</v>
      </c>
      <c r="AJ95" s="24">
        <v>18</v>
      </c>
      <c r="AK95" s="40" t="s">
        <v>97</v>
      </c>
    </row>
    <row r="96" spans="1:37" x14ac:dyDescent="0.25">
      <c r="A96" s="14">
        <v>19</v>
      </c>
      <c r="B96" s="17" t="s">
        <v>98</v>
      </c>
      <c r="C96" s="1">
        <v>2.5</v>
      </c>
      <c r="D96" s="1">
        <v>770</v>
      </c>
      <c r="E96" s="6">
        <v>500</v>
      </c>
      <c r="F96" s="3">
        <f t="shared" si="30"/>
        <v>308</v>
      </c>
      <c r="G96" s="2">
        <v>400</v>
      </c>
      <c r="H96" s="73">
        <f t="shared" si="31"/>
        <v>160</v>
      </c>
      <c r="I96" s="6">
        <v>720</v>
      </c>
      <c r="J96" s="6"/>
      <c r="K96" s="3">
        <f t="shared" si="32"/>
        <v>77</v>
      </c>
      <c r="L96" s="2">
        <v>100</v>
      </c>
      <c r="M96" s="73">
        <f t="shared" si="38"/>
        <v>40</v>
      </c>
      <c r="N96" s="4">
        <v>160</v>
      </c>
      <c r="O96" s="4"/>
      <c r="P96" s="3">
        <f t="shared" si="33"/>
        <v>174.79</v>
      </c>
      <c r="Q96" s="2">
        <v>227</v>
      </c>
      <c r="R96" s="76">
        <f t="shared" si="34"/>
        <v>90.8</v>
      </c>
      <c r="S96" s="6">
        <v>317.8</v>
      </c>
      <c r="T96" s="6">
        <v>120</v>
      </c>
      <c r="U96" s="3">
        <f t="shared" si="35"/>
        <v>113.19</v>
      </c>
      <c r="V96" s="4">
        <v>147</v>
      </c>
      <c r="W96" s="73">
        <f t="shared" si="42"/>
        <v>58.8</v>
      </c>
      <c r="X96" s="6">
        <v>249.9</v>
      </c>
      <c r="Y96" s="4"/>
      <c r="Z96" s="4"/>
      <c r="AA96" s="73">
        <f t="shared" si="39"/>
        <v>0</v>
      </c>
      <c r="AB96" s="4"/>
      <c r="AC96" s="4"/>
      <c r="AD96" s="13">
        <f t="shared" si="43"/>
        <v>0</v>
      </c>
      <c r="AE96" s="4"/>
      <c r="AF96" s="10">
        <f t="shared" si="36"/>
        <v>1447.7</v>
      </c>
      <c r="AG96" s="9">
        <f t="shared" si="17"/>
        <v>579.08000000000004</v>
      </c>
      <c r="AH96" s="11">
        <f t="shared" si="41"/>
        <v>3905.9</v>
      </c>
      <c r="AI96" s="12">
        <f t="shared" si="37"/>
        <v>1562.3600000000001</v>
      </c>
      <c r="AJ96" s="24">
        <v>19</v>
      </c>
      <c r="AK96" s="17" t="s">
        <v>98</v>
      </c>
    </row>
    <row r="97" spans="1:37" x14ac:dyDescent="0.25">
      <c r="A97" s="14">
        <v>20</v>
      </c>
      <c r="B97" s="17" t="s">
        <v>99</v>
      </c>
      <c r="C97" s="1">
        <v>1.4</v>
      </c>
      <c r="D97" s="1">
        <v>129</v>
      </c>
      <c r="E97" s="6">
        <v>600</v>
      </c>
      <c r="F97" s="3">
        <f t="shared" si="30"/>
        <v>29.67</v>
      </c>
      <c r="G97" s="2">
        <v>230</v>
      </c>
      <c r="H97" s="73">
        <f t="shared" si="31"/>
        <v>164.28571428571431</v>
      </c>
      <c r="I97" s="2">
        <v>897</v>
      </c>
      <c r="J97" s="4"/>
      <c r="K97" s="3">
        <f t="shared" si="32"/>
        <v>0</v>
      </c>
      <c r="L97" s="2"/>
      <c r="M97" s="73">
        <f t="shared" si="38"/>
        <v>0</v>
      </c>
      <c r="N97" s="9"/>
      <c r="O97" s="4"/>
      <c r="P97" s="3">
        <f t="shared" si="33"/>
        <v>0</v>
      </c>
      <c r="Q97" s="2"/>
      <c r="R97" s="76">
        <f t="shared" si="34"/>
        <v>0</v>
      </c>
      <c r="S97" s="4"/>
      <c r="T97" s="6">
        <v>100</v>
      </c>
      <c r="U97" s="3">
        <f t="shared" si="35"/>
        <v>0</v>
      </c>
      <c r="V97" s="4"/>
      <c r="W97" s="73">
        <f t="shared" si="42"/>
        <v>0</v>
      </c>
      <c r="X97" s="6"/>
      <c r="Y97" s="4"/>
      <c r="Z97" s="4"/>
      <c r="AA97" s="73">
        <f t="shared" si="39"/>
        <v>0</v>
      </c>
      <c r="AB97" s="4"/>
      <c r="AC97" s="4"/>
      <c r="AD97" s="13">
        <f t="shared" si="43"/>
        <v>0</v>
      </c>
      <c r="AE97" s="4"/>
      <c r="AF97" s="10">
        <f t="shared" si="36"/>
        <v>897</v>
      </c>
      <c r="AG97" s="9">
        <f t="shared" si="17"/>
        <v>640.71428571428578</v>
      </c>
      <c r="AH97" s="11">
        <f t="shared" si="41"/>
        <v>851</v>
      </c>
      <c r="AI97" s="12">
        <f t="shared" si="37"/>
        <v>607.85714285714289</v>
      </c>
      <c r="AJ97" s="24">
        <v>20</v>
      </c>
      <c r="AK97" s="17" t="s">
        <v>99</v>
      </c>
    </row>
    <row r="98" spans="1:37" x14ac:dyDescent="0.25">
      <c r="A98" s="14">
        <v>21</v>
      </c>
      <c r="B98" s="39" t="s">
        <v>101</v>
      </c>
      <c r="C98" s="1">
        <v>1</v>
      </c>
      <c r="D98" s="1">
        <v>375</v>
      </c>
      <c r="E98" s="2">
        <v>300</v>
      </c>
      <c r="F98" s="3">
        <f t="shared" si="30"/>
        <v>150</v>
      </c>
      <c r="G98" s="2">
        <v>400</v>
      </c>
      <c r="H98" s="73">
        <f t="shared" si="31"/>
        <v>400</v>
      </c>
      <c r="I98" s="2">
        <v>1000</v>
      </c>
      <c r="J98" s="4">
        <v>100</v>
      </c>
      <c r="K98" s="3">
        <f t="shared" si="32"/>
        <v>37.5</v>
      </c>
      <c r="L98" s="2">
        <v>100</v>
      </c>
      <c r="M98" s="73">
        <f t="shared" si="38"/>
        <v>100</v>
      </c>
      <c r="N98" s="4">
        <v>240</v>
      </c>
      <c r="O98" s="4">
        <v>100</v>
      </c>
      <c r="P98" s="3">
        <f t="shared" si="33"/>
        <v>37.5</v>
      </c>
      <c r="Q98" s="2">
        <v>100</v>
      </c>
      <c r="R98" s="76">
        <f t="shared" si="34"/>
        <v>100</v>
      </c>
      <c r="S98" s="4">
        <v>300</v>
      </c>
      <c r="T98" s="4">
        <v>100</v>
      </c>
      <c r="U98" s="3">
        <f t="shared" si="35"/>
        <v>37.5</v>
      </c>
      <c r="V98" s="2">
        <v>100</v>
      </c>
      <c r="W98" s="73">
        <f t="shared" si="42"/>
        <v>100</v>
      </c>
      <c r="X98" s="6">
        <v>500</v>
      </c>
      <c r="Y98" s="4"/>
      <c r="Z98" s="4"/>
      <c r="AA98" s="73">
        <f t="shared" si="39"/>
        <v>0</v>
      </c>
      <c r="AB98" s="4"/>
      <c r="AC98" s="4"/>
      <c r="AD98" s="13">
        <f t="shared" si="43"/>
        <v>0</v>
      </c>
      <c r="AE98" s="4"/>
      <c r="AF98" s="10">
        <f t="shared" si="36"/>
        <v>2040</v>
      </c>
      <c r="AG98" s="9">
        <f t="shared" si="17"/>
        <v>2040</v>
      </c>
      <c r="AH98" s="11">
        <f t="shared" si="41"/>
        <v>3020</v>
      </c>
      <c r="AI98" s="12">
        <f t="shared" si="37"/>
        <v>3020</v>
      </c>
      <c r="AJ98" s="24">
        <v>21</v>
      </c>
      <c r="AK98" s="39" t="s">
        <v>101</v>
      </c>
    </row>
    <row r="99" spans="1:37" x14ac:dyDescent="0.25">
      <c r="A99" s="14">
        <v>22</v>
      </c>
      <c r="B99" s="17" t="s">
        <v>102</v>
      </c>
      <c r="C99" s="1">
        <v>2.5</v>
      </c>
      <c r="D99" s="1">
        <v>2</v>
      </c>
      <c r="E99" s="2">
        <v>500</v>
      </c>
      <c r="F99" s="3">
        <f t="shared" si="30"/>
        <v>1</v>
      </c>
      <c r="G99" s="2">
        <v>500</v>
      </c>
      <c r="H99" s="73">
        <f t="shared" si="31"/>
        <v>200</v>
      </c>
      <c r="I99" s="6">
        <v>1325</v>
      </c>
      <c r="J99" s="4">
        <v>100</v>
      </c>
      <c r="K99" s="3">
        <f t="shared" si="32"/>
        <v>0</v>
      </c>
      <c r="L99" s="4"/>
      <c r="M99" s="73">
        <f t="shared" si="38"/>
        <v>0</v>
      </c>
      <c r="N99" s="4"/>
      <c r="O99" s="4">
        <v>280</v>
      </c>
      <c r="P99" s="3">
        <f t="shared" si="33"/>
        <v>0</v>
      </c>
      <c r="Q99" s="2"/>
      <c r="R99" s="76">
        <f t="shared" si="34"/>
        <v>0</v>
      </c>
      <c r="S99" s="4"/>
      <c r="T99" s="4">
        <v>120</v>
      </c>
      <c r="U99" s="3">
        <f t="shared" si="35"/>
        <v>0.66</v>
      </c>
      <c r="V99" s="2">
        <v>330</v>
      </c>
      <c r="W99" s="73">
        <f t="shared" si="42"/>
        <v>132</v>
      </c>
      <c r="X99" s="6">
        <v>1910</v>
      </c>
      <c r="Y99" s="4"/>
      <c r="Z99" s="4"/>
      <c r="AA99" s="73">
        <f t="shared" si="39"/>
        <v>0</v>
      </c>
      <c r="AB99" s="4"/>
      <c r="AC99" s="4"/>
      <c r="AD99" s="13">
        <f t="shared" si="43"/>
        <v>0</v>
      </c>
      <c r="AE99" s="4"/>
      <c r="AF99" s="10">
        <f t="shared" si="36"/>
        <v>3235</v>
      </c>
      <c r="AG99" s="9">
        <f t="shared" si="17"/>
        <v>1294</v>
      </c>
      <c r="AH99" s="11">
        <f t="shared" si="41"/>
        <v>4325</v>
      </c>
      <c r="AI99" s="12">
        <f t="shared" si="37"/>
        <v>1730</v>
      </c>
      <c r="AJ99" s="24">
        <v>22</v>
      </c>
      <c r="AK99" s="17" t="s">
        <v>102</v>
      </c>
    </row>
    <row r="100" spans="1:37" x14ac:dyDescent="0.25">
      <c r="A100" s="14">
        <v>23</v>
      </c>
      <c r="B100" s="17" t="s">
        <v>103</v>
      </c>
      <c r="C100" s="1">
        <v>1.8</v>
      </c>
      <c r="D100" s="1">
        <v>270</v>
      </c>
      <c r="E100" s="2"/>
      <c r="F100" s="3">
        <f t="shared" si="30"/>
        <v>40.5</v>
      </c>
      <c r="G100" s="2">
        <v>150</v>
      </c>
      <c r="H100" s="73">
        <f t="shared" si="31"/>
        <v>83.333333333333329</v>
      </c>
      <c r="I100" s="6">
        <v>570</v>
      </c>
      <c r="J100" s="4"/>
      <c r="K100" s="3">
        <f t="shared" si="32"/>
        <v>0</v>
      </c>
      <c r="L100" s="4"/>
      <c r="M100" s="73">
        <f t="shared" si="38"/>
        <v>0</v>
      </c>
      <c r="N100" s="4"/>
      <c r="O100" s="4"/>
      <c r="P100" s="3">
        <f t="shared" si="33"/>
        <v>0</v>
      </c>
      <c r="Q100" s="2"/>
      <c r="R100" s="76">
        <f t="shared" si="34"/>
        <v>0</v>
      </c>
      <c r="S100" s="4"/>
      <c r="T100" s="4"/>
      <c r="U100" s="3">
        <f t="shared" si="35"/>
        <v>13.5</v>
      </c>
      <c r="V100" s="2">
        <v>50</v>
      </c>
      <c r="W100" s="73">
        <f t="shared" si="42"/>
        <v>27.777777777777779</v>
      </c>
      <c r="X100" s="6">
        <v>400</v>
      </c>
      <c r="Y100" s="4" t="s">
        <v>134</v>
      </c>
      <c r="Z100" s="4">
        <v>75</v>
      </c>
      <c r="AA100" s="73">
        <f t="shared" si="39"/>
        <v>41.666666666666664</v>
      </c>
      <c r="AB100" s="4">
        <v>450</v>
      </c>
      <c r="AC100" s="4"/>
      <c r="AD100" s="13">
        <f t="shared" si="43"/>
        <v>0</v>
      </c>
      <c r="AE100" s="4"/>
      <c r="AF100" s="10">
        <f t="shared" si="36"/>
        <v>1420</v>
      </c>
      <c r="AG100" s="9">
        <f t="shared" si="17"/>
        <v>788.88888888888891</v>
      </c>
      <c r="AH100" s="11">
        <f>G100*3.7+L100*3.7+Q100*4.2+V100*7.5+Z100*4+AE100</f>
        <v>1230</v>
      </c>
      <c r="AI100" s="12">
        <f t="shared" si="37"/>
        <v>683.33333333333337</v>
      </c>
      <c r="AJ100" s="24">
        <v>23</v>
      </c>
      <c r="AK100" s="17" t="s">
        <v>103</v>
      </c>
    </row>
    <row r="101" spans="1:37" ht="22.5" customHeight="1" x14ac:dyDescent="0.25">
      <c r="A101" s="14">
        <v>24</v>
      </c>
      <c r="B101" s="17" t="s">
        <v>104</v>
      </c>
      <c r="C101" s="1">
        <v>1.48</v>
      </c>
      <c r="D101" s="1">
        <v>1101</v>
      </c>
      <c r="E101" s="2">
        <v>239</v>
      </c>
      <c r="F101" s="3">
        <f t="shared" si="30"/>
        <v>330.3</v>
      </c>
      <c r="G101" s="2">
        <v>300</v>
      </c>
      <c r="H101" s="73">
        <f t="shared" si="31"/>
        <v>202.70270270270271</v>
      </c>
      <c r="I101" s="6">
        <v>1050</v>
      </c>
      <c r="J101" s="4">
        <v>57</v>
      </c>
      <c r="K101" s="3">
        <f t="shared" si="32"/>
        <v>55.05</v>
      </c>
      <c r="L101" s="4">
        <v>50</v>
      </c>
      <c r="M101" s="73">
        <f t="shared" si="38"/>
        <v>33.783783783783782</v>
      </c>
      <c r="N101" s="4">
        <v>175</v>
      </c>
      <c r="O101" s="4">
        <v>10.5</v>
      </c>
      <c r="P101" s="3">
        <f t="shared" si="33"/>
        <v>38.534999999999997</v>
      </c>
      <c r="Q101" s="2">
        <v>35</v>
      </c>
      <c r="R101" s="76">
        <f t="shared" si="34"/>
        <v>23.648648648648649</v>
      </c>
      <c r="S101" s="4">
        <v>122.5</v>
      </c>
      <c r="T101" s="4">
        <v>41</v>
      </c>
      <c r="U101" s="3">
        <f t="shared" si="35"/>
        <v>110.1</v>
      </c>
      <c r="V101" s="2">
        <v>100</v>
      </c>
      <c r="W101" s="73">
        <f t="shared" si="42"/>
        <v>67.567567567567565</v>
      </c>
      <c r="X101" s="6">
        <v>700</v>
      </c>
      <c r="Y101" s="9" t="s">
        <v>198</v>
      </c>
      <c r="Z101" s="9" t="s">
        <v>199</v>
      </c>
      <c r="AA101" s="79" t="s">
        <v>201</v>
      </c>
      <c r="AB101" s="9" t="s">
        <v>200</v>
      </c>
      <c r="AC101" s="4">
        <v>1360</v>
      </c>
      <c r="AD101" s="13">
        <f t="shared" si="43"/>
        <v>0</v>
      </c>
      <c r="AE101" s="4"/>
      <c r="AF101" s="13">
        <f>I101+N101+S101+X101+175+195+AE101</f>
        <v>2417.5</v>
      </c>
      <c r="AG101" s="9">
        <f t="shared" si="17"/>
        <v>1633.4459459459461</v>
      </c>
      <c r="AH101" s="11">
        <f>G101*3.7+L101*3.7+Q101*4.2+V101*7.5++AE101+143+250</f>
        <v>2585</v>
      </c>
      <c r="AI101" s="12">
        <f t="shared" si="37"/>
        <v>1746.6216216216217</v>
      </c>
      <c r="AJ101" s="24">
        <v>24</v>
      </c>
      <c r="AK101" s="17" t="s">
        <v>104</v>
      </c>
    </row>
    <row r="102" spans="1:37" x14ac:dyDescent="0.25">
      <c r="A102" s="14">
        <v>25</v>
      </c>
      <c r="B102" s="40" t="s">
        <v>105</v>
      </c>
      <c r="C102" s="1">
        <v>1.17</v>
      </c>
      <c r="D102" s="1">
        <v>300</v>
      </c>
      <c r="E102" s="2">
        <v>320</v>
      </c>
      <c r="F102" s="3">
        <f t="shared" si="30"/>
        <v>96</v>
      </c>
      <c r="G102" s="2">
        <v>320</v>
      </c>
      <c r="H102" s="73">
        <f t="shared" si="31"/>
        <v>273.5042735042735</v>
      </c>
      <c r="I102" s="6">
        <v>736</v>
      </c>
      <c r="J102" s="4">
        <v>50</v>
      </c>
      <c r="K102" s="3">
        <f t="shared" si="32"/>
        <v>15</v>
      </c>
      <c r="L102" s="4">
        <v>50</v>
      </c>
      <c r="M102" s="73">
        <f t="shared" si="38"/>
        <v>42.73504273504274</v>
      </c>
      <c r="N102" s="4">
        <v>100</v>
      </c>
      <c r="O102" s="4" t="s">
        <v>180</v>
      </c>
      <c r="P102" s="3">
        <f t="shared" si="33"/>
        <v>0</v>
      </c>
      <c r="Q102" s="2"/>
      <c r="R102" s="76">
        <f t="shared" si="34"/>
        <v>0</v>
      </c>
      <c r="S102" s="4"/>
      <c r="T102" s="4">
        <v>70</v>
      </c>
      <c r="U102" s="3">
        <f t="shared" si="35"/>
        <v>21</v>
      </c>
      <c r="V102" s="2">
        <v>70</v>
      </c>
      <c r="W102" s="73">
        <f t="shared" si="42"/>
        <v>59.82905982905983</v>
      </c>
      <c r="X102" s="6">
        <v>245</v>
      </c>
      <c r="Y102" s="4"/>
      <c r="Z102" s="4"/>
      <c r="AA102" s="73">
        <f t="shared" si="39"/>
        <v>0</v>
      </c>
      <c r="AB102" s="4"/>
      <c r="AC102" s="4"/>
      <c r="AD102" s="13">
        <f t="shared" si="43"/>
        <v>0</v>
      </c>
      <c r="AE102" s="4"/>
      <c r="AF102" s="13">
        <f>I102+N102+S102+X102+AB102+AE102</f>
        <v>1081</v>
      </c>
      <c r="AG102" s="9">
        <f t="shared" si="17"/>
        <v>923.93162393162402</v>
      </c>
      <c r="AH102" s="11">
        <f t="shared" si="41"/>
        <v>1894</v>
      </c>
      <c r="AI102" s="12">
        <f t="shared" si="37"/>
        <v>1618.8034188034189</v>
      </c>
      <c r="AJ102" s="24">
        <v>25</v>
      </c>
      <c r="AK102" s="40" t="s">
        <v>105</v>
      </c>
    </row>
    <row r="103" spans="1:37" x14ac:dyDescent="0.25">
      <c r="A103" s="14">
        <v>26</v>
      </c>
      <c r="B103" s="17" t="s">
        <v>106</v>
      </c>
      <c r="C103" s="1">
        <v>1.17</v>
      </c>
      <c r="D103" s="1">
        <v>162</v>
      </c>
      <c r="E103" s="2">
        <v>420</v>
      </c>
      <c r="F103" s="3">
        <f t="shared" si="30"/>
        <v>68.040000000000006</v>
      </c>
      <c r="G103" s="2">
        <v>420</v>
      </c>
      <c r="H103" s="73">
        <f t="shared" si="31"/>
        <v>358.97435897435901</v>
      </c>
      <c r="I103" s="6">
        <v>966</v>
      </c>
      <c r="J103" s="4">
        <v>50</v>
      </c>
      <c r="K103" s="3">
        <f t="shared" si="32"/>
        <v>8.1</v>
      </c>
      <c r="L103" s="4">
        <v>50</v>
      </c>
      <c r="M103" s="73">
        <f t="shared" si="38"/>
        <v>42.73504273504274</v>
      </c>
      <c r="N103" s="4">
        <v>115</v>
      </c>
      <c r="O103" s="4" t="s">
        <v>182</v>
      </c>
      <c r="P103" s="3">
        <f t="shared" si="33"/>
        <v>0</v>
      </c>
      <c r="Q103" s="2"/>
      <c r="R103" s="76">
        <f t="shared" si="34"/>
        <v>0</v>
      </c>
      <c r="S103" s="4"/>
      <c r="T103" s="4">
        <v>70</v>
      </c>
      <c r="U103" s="3">
        <f t="shared" si="35"/>
        <v>11.34</v>
      </c>
      <c r="V103" s="2">
        <v>70</v>
      </c>
      <c r="W103" s="73">
        <f t="shared" si="42"/>
        <v>59.82905982905983</v>
      </c>
      <c r="X103" s="6">
        <v>280</v>
      </c>
      <c r="Y103" s="4"/>
      <c r="Z103" s="4"/>
      <c r="AA103" s="73">
        <f t="shared" si="39"/>
        <v>0</v>
      </c>
      <c r="AB103" s="4"/>
      <c r="AC103" s="4"/>
      <c r="AD103" s="13">
        <f t="shared" si="43"/>
        <v>0</v>
      </c>
      <c r="AE103" s="4"/>
      <c r="AF103" s="10">
        <f t="shared" si="36"/>
        <v>1361</v>
      </c>
      <c r="AG103" s="9">
        <f t="shared" si="17"/>
        <v>1163.2478632478633</v>
      </c>
      <c r="AH103" s="11">
        <f t="shared" si="41"/>
        <v>2264</v>
      </c>
      <c r="AI103" s="12">
        <f t="shared" si="37"/>
        <v>1935.0427350427351</v>
      </c>
      <c r="AJ103" s="24">
        <v>26</v>
      </c>
      <c r="AK103" s="17" t="s">
        <v>106</v>
      </c>
    </row>
    <row r="104" spans="1:37" ht="23.25" x14ac:dyDescent="0.25">
      <c r="A104" s="14">
        <v>27</v>
      </c>
      <c r="B104" s="17" t="s">
        <v>107</v>
      </c>
      <c r="C104" s="1">
        <v>1.6</v>
      </c>
      <c r="D104" s="1">
        <v>975</v>
      </c>
      <c r="E104" s="2">
        <v>270</v>
      </c>
      <c r="F104" s="3">
        <f t="shared" si="30"/>
        <v>292.5</v>
      </c>
      <c r="G104" s="2">
        <v>300</v>
      </c>
      <c r="H104" s="73">
        <f t="shared" si="31"/>
        <v>187.5</v>
      </c>
      <c r="I104" s="6">
        <v>900</v>
      </c>
      <c r="J104" s="4">
        <v>30</v>
      </c>
      <c r="K104" s="3">
        <f t="shared" si="32"/>
        <v>48.75</v>
      </c>
      <c r="L104" s="4">
        <v>50</v>
      </c>
      <c r="M104" s="73">
        <f t="shared" si="38"/>
        <v>31.25</v>
      </c>
      <c r="N104" s="4">
        <v>150</v>
      </c>
      <c r="O104" s="4"/>
      <c r="P104" s="3">
        <f t="shared" si="33"/>
        <v>195</v>
      </c>
      <c r="Q104" s="2">
        <v>200</v>
      </c>
      <c r="R104" s="76">
        <f t="shared" si="34"/>
        <v>125</v>
      </c>
      <c r="S104" s="4">
        <v>700</v>
      </c>
      <c r="T104" s="4">
        <v>94</v>
      </c>
      <c r="U104" s="3">
        <f t="shared" si="35"/>
        <v>97.5</v>
      </c>
      <c r="V104" s="2">
        <v>100</v>
      </c>
      <c r="W104" s="73">
        <f t="shared" si="42"/>
        <v>62.5</v>
      </c>
      <c r="X104" s="6">
        <v>650</v>
      </c>
      <c r="Y104" s="9" t="s">
        <v>184</v>
      </c>
      <c r="Z104" s="9" t="s">
        <v>185</v>
      </c>
      <c r="AA104" s="79" t="s">
        <v>186</v>
      </c>
      <c r="AB104" s="9" t="s">
        <v>187</v>
      </c>
      <c r="AC104" s="4"/>
      <c r="AD104" s="13">
        <f t="shared" si="43"/>
        <v>0</v>
      </c>
      <c r="AE104" s="4"/>
      <c r="AF104" s="13">
        <f>I104+N104+S104+X104+410+AE104</f>
        <v>2810</v>
      </c>
      <c r="AG104" s="9">
        <f t="shared" si="17"/>
        <v>1756.25</v>
      </c>
      <c r="AH104" s="11">
        <f>G104*3.7+L104*3.7+Q104*4.2+V104*7.5+AE104+250+259</f>
        <v>3394</v>
      </c>
      <c r="AI104" s="12">
        <f t="shared" si="37"/>
        <v>2121.25</v>
      </c>
      <c r="AJ104" s="24">
        <v>27</v>
      </c>
      <c r="AK104" s="17" t="s">
        <v>107</v>
      </c>
    </row>
    <row r="105" spans="1:37" x14ac:dyDescent="0.25">
      <c r="A105" s="14">
        <v>28</v>
      </c>
      <c r="B105" s="17" t="s">
        <v>100</v>
      </c>
      <c r="C105" s="1">
        <v>1.4</v>
      </c>
      <c r="D105" s="1">
        <v>110</v>
      </c>
      <c r="E105" s="2"/>
      <c r="F105" s="3">
        <f>G105*D105/1000</f>
        <v>0</v>
      </c>
      <c r="G105" s="2"/>
      <c r="H105" s="73">
        <f>G105/C105</f>
        <v>0</v>
      </c>
      <c r="I105" s="6"/>
      <c r="J105" s="4"/>
      <c r="K105" s="3">
        <f>L105*D105/1000</f>
        <v>0</v>
      </c>
      <c r="L105" s="4"/>
      <c r="M105" s="73">
        <f>L105/C105</f>
        <v>0</v>
      </c>
      <c r="N105" s="4"/>
      <c r="O105" s="4"/>
      <c r="P105" s="3">
        <f>Q105*D105/1000</f>
        <v>36.299999999999997</v>
      </c>
      <c r="Q105" s="2">
        <v>330</v>
      </c>
      <c r="R105" s="76">
        <f>Q105/C105</f>
        <v>235.71428571428572</v>
      </c>
      <c r="S105" s="4">
        <v>1050</v>
      </c>
      <c r="T105" s="4"/>
      <c r="U105" s="3">
        <f>V105*D105/1000</f>
        <v>0</v>
      </c>
      <c r="V105" s="2"/>
      <c r="W105" s="73">
        <f>V105/C105</f>
        <v>0</v>
      </c>
      <c r="X105" s="6"/>
      <c r="Y105" s="4"/>
      <c r="Z105" s="4"/>
      <c r="AA105" s="73">
        <f t="shared" si="39"/>
        <v>0</v>
      </c>
      <c r="AB105" s="4"/>
      <c r="AC105" s="4"/>
      <c r="AD105" s="13">
        <f t="shared" si="43"/>
        <v>0</v>
      </c>
      <c r="AE105" s="4"/>
      <c r="AF105" s="10">
        <f t="shared" si="36"/>
        <v>1050</v>
      </c>
      <c r="AG105" s="9">
        <f t="shared" si="17"/>
        <v>750</v>
      </c>
      <c r="AH105" s="11">
        <f t="shared" si="41"/>
        <v>1386</v>
      </c>
      <c r="AI105" s="12">
        <f t="shared" si="37"/>
        <v>990.00000000000011</v>
      </c>
      <c r="AJ105" s="24">
        <v>28</v>
      </c>
      <c r="AK105" s="17" t="s">
        <v>100</v>
      </c>
    </row>
    <row r="106" spans="1:37" x14ac:dyDescent="0.25">
      <c r="A106" s="14">
        <v>29</v>
      </c>
      <c r="B106" s="41" t="s">
        <v>108</v>
      </c>
      <c r="C106" s="1">
        <v>1</v>
      </c>
      <c r="D106" s="1">
        <v>101</v>
      </c>
      <c r="E106" s="2">
        <v>250</v>
      </c>
      <c r="F106" s="3">
        <f>G106*D106/1000</f>
        <v>25.25</v>
      </c>
      <c r="G106" s="2">
        <v>250</v>
      </c>
      <c r="H106" s="73">
        <f t="shared" si="31"/>
        <v>250</v>
      </c>
      <c r="I106" s="6">
        <v>750</v>
      </c>
      <c r="J106" s="4"/>
      <c r="K106" s="3">
        <f t="shared" si="32"/>
        <v>0</v>
      </c>
      <c r="L106" s="4"/>
      <c r="M106" s="73">
        <f t="shared" si="38"/>
        <v>0</v>
      </c>
      <c r="N106" s="4"/>
      <c r="O106" s="4"/>
      <c r="P106" s="3">
        <f t="shared" si="33"/>
        <v>0</v>
      </c>
      <c r="Q106" s="2"/>
      <c r="R106" s="76">
        <f t="shared" si="34"/>
        <v>0</v>
      </c>
      <c r="S106" s="4"/>
      <c r="T106" s="4">
        <v>50</v>
      </c>
      <c r="U106" s="3">
        <f t="shared" si="35"/>
        <v>5.05</v>
      </c>
      <c r="V106" s="2">
        <v>50</v>
      </c>
      <c r="W106" s="73">
        <f t="shared" si="42"/>
        <v>50</v>
      </c>
      <c r="X106" s="6">
        <v>300</v>
      </c>
      <c r="Y106" s="4"/>
      <c r="Z106" s="4"/>
      <c r="AA106" s="73">
        <f t="shared" si="39"/>
        <v>0</v>
      </c>
      <c r="AB106" s="4"/>
      <c r="AC106" s="4"/>
      <c r="AD106" s="13">
        <f t="shared" si="43"/>
        <v>0</v>
      </c>
      <c r="AE106" s="4"/>
      <c r="AF106" s="10">
        <f t="shared" si="36"/>
        <v>1050</v>
      </c>
      <c r="AG106" s="9">
        <f t="shared" si="17"/>
        <v>1050</v>
      </c>
      <c r="AH106" s="11">
        <f t="shared" si="41"/>
        <v>1300</v>
      </c>
      <c r="AI106" s="12">
        <f t="shared" si="37"/>
        <v>1300</v>
      </c>
      <c r="AJ106" s="24"/>
      <c r="AK106" s="41" t="s">
        <v>108</v>
      </c>
    </row>
    <row r="107" spans="1:37" x14ac:dyDescent="0.25">
      <c r="A107" s="14">
        <v>30</v>
      </c>
      <c r="B107" s="17" t="s">
        <v>111</v>
      </c>
      <c r="C107" s="1">
        <v>1.5</v>
      </c>
      <c r="D107" s="1">
        <v>264</v>
      </c>
      <c r="E107" s="2">
        <v>250</v>
      </c>
      <c r="F107" s="3">
        <f>G107*D107/1000</f>
        <v>66</v>
      </c>
      <c r="G107" s="2">
        <v>250</v>
      </c>
      <c r="H107" s="73">
        <f t="shared" si="31"/>
        <v>166.66666666666666</v>
      </c>
      <c r="I107" s="6">
        <v>750</v>
      </c>
      <c r="J107" s="4"/>
      <c r="K107" s="3">
        <f t="shared" si="32"/>
        <v>0</v>
      </c>
      <c r="L107" s="4"/>
      <c r="M107" s="73">
        <f t="shared" si="38"/>
        <v>0</v>
      </c>
      <c r="N107" s="4"/>
      <c r="O107" s="4"/>
      <c r="P107" s="3">
        <f t="shared" si="33"/>
        <v>0</v>
      </c>
      <c r="Q107" s="2"/>
      <c r="R107" s="76">
        <f t="shared" si="34"/>
        <v>0</v>
      </c>
      <c r="S107" s="4"/>
      <c r="T107" s="4">
        <v>50</v>
      </c>
      <c r="U107" s="3">
        <f t="shared" si="35"/>
        <v>13.2</v>
      </c>
      <c r="V107" s="2">
        <v>50</v>
      </c>
      <c r="W107" s="73">
        <f t="shared" si="42"/>
        <v>33.333333333333336</v>
      </c>
      <c r="X107" s="6">
        <v>300</v>
      </c>
      <c r="Y107" s="4"/>
      <c r="Z107" s="4"/>
      <c r="AA107" s="73">
        <f t="shared" si="39"/>
        <v>0</v>
      </c>
      <c r="AB107" s="4"/>
      <c r="AC107" s="4"/>
      <c r="AD107" s="13">
        <f t="shared" si="43"/>
        <v>0</v>
      </c>
      <c r="AE107" s="4"/>
      <c r="AF107" s="10">
        <f t="shared" si="36"/>
        <v>1050</v>
      </c>
      <c r="AG107" s="9">
        <f t="shared" si="17"/>
        <v>700</v>
      </c>
      <c r="AH107" s="11">
        <f t="shared" si="41"/>
        <v>1300</v>
      </c>
      <c r="AI107" s="12">
        <f t="shared" si="37"/>
        <v>866.66666666666663</v>
      </c>
      <c r="AJ107" s="24"/>
      <c r="AK107" s="17" t="s">
        <v>111</v>
      </c>
    </row>
    <row r="108" spans="1:37" x14ac:dyDescent="0.25">
      <c r="A108" s="14">
        <v>31</v>
      </c>
      <c r="B108" s="39" t="s">
        <v>183</v>
      </c>
      <c r="C108" s="2">
        <v>1.1599999999999999</v>
      </c>
      <c r="D108" s="2">
        <v>93</v>
      </c>
      <c r="E108" s="2">
        <v>200</v>
      </c>
      <c r="F108" s="2">
        <f>G108*D108/1000</f>
        <v>18.600000000000001</v>
      </c>
      <c r="G108" s="2">
        <v>200</v>
      </c>
      <c r="H108" s="73">
        <f t="shared" si="31"/>
        <v>172.41379310344828</v>
      </c>
      <c r="I108" s="2">
        <v>600</v>
      </c>
      <c r="J108" s="2">
        <v>100</v>
      </c>
      <c r="K108" s="2">
        <f t="shared" si="32"/>
        <v>9.3000000000000007</v>
      </c>
      <c r="L108" s="2">
        <v>100</v>
      </c>
      <c r="M108" s="73">
        <f t="shared" si="38"/>
        <v>86.206896551724142</v>
      </c>
      <c r="N108" s="2">
        <v>300</v>
      </c>
      <c r="O108" s="2"/>
      <c r="P108" s="2">
        <f t="shared" si="33"/>
        <v>0</v>
      </c>
      <c r="Q108" s="2"/>
      <c r="R108" s="73">
        <f t="shared" si="34"/>
        <v>0</v>
      </c>
      <c r="S108" s="2"/>
      <c r="T108" s="2">
        <v>50</v>
      </c>
      <c r="U108" s="2">
        <f t="shared" si="35"/>
        <v>4.6500000000000004</v>
      </c>
      <c r="V108" s="2">
        <v>50</v>
      </c>
      <c r="W108" s="73">
        <f t="shared" si="42"/>
        <v>43.103448275862071</v>
      </c>
      <c r="X108" s="2">
        <v>400</v>
      </c>
      <c r="Y108" s="4"/>
      <c r="Z108" s="15"/>
      <c r="AA108" s="73">
        <f t="shared" si="39"/>
        <v>0</v>
      </c>
      <c r="AB108" s="15"/>
      <c r="AC108" s="15"/>
      <c r="AD108" s="13">
        <f t="shared" si="43"/>
        <v>0</v>
      </c>
      <c r="AE108" s="15"/>
      <c r="AF108" s="10">
        <f t="shared" si="36"/>
        <v>1300</v>
      </c>
      <c r="AG108" s="9">
        <f t="shared" si="17"/>
        <v>1120.6896551724139</v>
      </c>
      <c r="AH108" s="11">
        <f t="shared" si="41"/>
        <v>1485</v>
      </c>
      <c r="AI108" s="12">
        <f t="shared" si="37"/>
        <v>1280.1724137931035</v>
      </c>
      <c r="AJ108" s="24"/>
      <c r="AK108" s="39" t="s">
        <v>183</v>
      </c>
    </row>
    <row r="109" spans="1:37" x14ac:dyDescent="0.25">
      <c r="A109" s="14">
        <v>32</v>
      </c>
      <c r="B109" s="17" t="s">
        <v>109</v>
      </c>
      <c r="C109" s="1">
        <v>1.64</v>
      </c>
      <c r="D109" s="1">
        <v>487</v>
      </c>
      <c r="E109" s="2"/>
      <c r="F109" s="3">
        <f>G109*D109/1000</f>
        <v>0</v>
      </c>
      <c r="G109" s="2"/>
      <c r="H109" s="73">
        <f t="shared" si="31"/>
        <v>0</v>
      </c>
      <c r="I109" s="6"/>
      <c r="J109" s="4"/>
      <c r="K109" s="3">
        <f t="shared" si="32"/>
        <v>0</v>
      </c>
      <c r="L109" s="4"/>
      <c r="M109" s="73">
        <f t="shared" si="38"/>
        <v>0</v>
      </c>
      <c r="N109" s="4"/>
      <c r="O109" s="4"/>
      <c r="P109" s="3">
        <f t="shared" si="33"/>
        <v>0</v>
      </c>
      <c r="Q109" s="2"/>
      <c r="R109" s="76">
        <f t="shared" si="34"/>
        <v>0</v>
      </c>
      <c r="S109" s="4"/>
      <c r="T109" s="4"/>
      <c r="U109" s="3">
        <f t="shared" si="35"/>
        <v>0</v>
      </c>
      <c r="V109" s="2"/>
      <c r="W109" s="73">
        <f t="shared" si="42"/>
        <v>0</v>
      </c>
      <c r="X109" s="6"/>
      <c r="Y109" s="4"/>
      <c r="Z109" s="4"/>
      <c r="AA109" s="73">
        <f t="shared" si="39"/>
        <v>0</v>
      </c>
      <c r="AB109" s="4"/>
      <c r="AC109" s="4">
        <v>1135</v>
      </c>
      <c r="AD109" s="13">
        <f t="shared" si="43"/>
        <v>692.07317073170736</v>
      </c>
      <c r="AE109" s="4">
        <v>1135</v>
      </c>
      <c r="AF109" s="10">
        <f t="shared" si="36"/>
        <v>1135</v>
      </c>
      <c r="AG109" s="9">
        <f t="shared" si="17"/>
        <v>692.07317073170736</v>
      </c>
      <c r="AH109" s="11">
        <f t="shared" si="41"/>
        <v>1135</v>
      </c>
      <c r="AI109" s="12">
        <f t="shared" si="37"/>
        <v>692.07317073170736</v>
      </c>
      <c r="AJ109" s="24"/>
      <c r="AK109" s="17" t="s">
        <v>109</v>
      </c>
    </row>
    <row r="110" spans="1:37" x14ac:dyDescent="0.25">
      <c r="A110" s="97"/>
      <c r="B110" s="98" t="s">
        <v>40</v>
      </c>
      <c r="C110" s="99">
        <f>SUM(C78:C109)/32</f>
        <v>1.4678124999999997</v>
      </c>
      <c r="D110" s="100">
        <f>SUM(D78:D109)</f>
        <v>16619</v>
      </c>
      <c r="E110" s="100" t="s">
        <v>112</v>
      </c>
      <c r="F110" s="101">
        <f>SUM(F78:F109)</f>
        <v>4292.0800000000008</v>
      </c>
      <c r="G110" s="102">
        <f>F110/13762*1000</f>
        <v>311.87908734195616</v>
      </c>
      <c r="H110" s="98">
        <f t="shared" si="31"/>
        <v>212.47883319017669</v>
      </c>
      <c r="I110" s="102">
        <f>SUM(I78:I109)/25</f>
        <v>893.64</v>
      </c>
      <c r="J110" s="98" t="s">
        <v>46</v>
      </c>
      <c r="K110" s="102">
        <f>SUM(K78:K109)</f>
        <v>821.69999999999993</v>
      </c>
      <c r="L110" s="98">
        <f>K110/11614*1000</f>
        <v>70.750817978302038</v>
      </c>
      <c r="M110" s="102">
        <f t="shared" si="38"/>
        <v>48.201536625626261</v>
      </c>
      <c r="N110" s="98">
        <f>SUM(N78:N109)/15</f>
        <v>204.2</v>
      </c>
      <c r="O110" s="102" t="s">
        <v>46</v>
      </c>
      <c r="P110" s="103">
        <f>SUM(P78:P109)</f>
        <v>841.02499999999998</v>
      </c>
      <c r="Q110" s="102">
        <f>P110/6084*1000</f>
        <v>138.23553583168967</v>
      </c>
      <c r="R110" s="98">
        <f t="shared" si="34"/>
        <v>94.177925199362789</v>
      </c>
      <c r="S110" s="102">
        <f>SUM(S78:S109)/13</f>
        <v>444.48461538461538</v>
      </c>
      <c r="T110" s="98" t="s">
        <v>46</v>
      </c>
      <c r="U110" s="102">
        <f>SUM(U78:U109)</f>
        <v>1005.19</v>
      </c>
      <c r="V110" s="98">
        <f>U110/14426*1000</f>
        <v>69.679051712186336</v>
      </c>
      <c r="W110" s="102">
        <f t="shared" si="42"/>
        <v>47.471357351287274</v>
      </c>
      <c r="X110" s="98">
        <f>SUM(X78:X109)/27</f>
        <v>533.99629629629624</v>
      </c>
      <c r="Y110" s="102" t="s">
        <v>46</v>
      </c>
      <c r="Z110" s="98" t="s">
        <v>46</v>
      </c>
      <c r="AA110" s="102" t="e">
        <f t="shared" si="39"/>
        <v>#VALUE!</v>
      </c>
      <c r="AB110" s="101" t="s">
        <v>46</v>
      </c>
      <c r="AC110" s="104" t="s">
        <v>46</v>
      </c>
      <c r="AD110" s="104" t="e">
        <f t="shared" si="43"/>
        <v>#VALUE!</v>
      </c>
      <c r="AE110" s="104" t="s">
        <v>46</v>
      </c>
      <c r="AF110" s="105">
        <f>SUM(AF78:AF109)/32</f>
        <v>1599.4749999999999</v>
      </c>
      <c r="AG110" s="105">
        <f>AF110/C110</f>
        <v>1089.6998083883332</v>
      </c>
      <c r="AH110" s="105">
        <f>SUM(AH78:AH109)/32</f>
        <v>2016.953125</v>
      </c>
      <c r="AI110" s="105">
        <f>AH110/C110</f>
        <v>1374.1217798594851</v>
      </c>
      <c r="AJ110" s="104"/>
      <c r="AK110" s="104" t="s">
        <v>40</v>
      </c>
    </row>
    <row r="111" spans="1:37" ht="20.25" customHeight="1" x14ac:dyDescent="0.25">
      <c r="A111" s="59">
        <v>1</v>
      </c>
      <c r="B111" s="21" t="s">
        <v>23</v>
      </c>
      <c r="C111" s="81">
        <v>2.98</v>
      </c>
      <c r="D111" s="81">
        <v>352</v>
      </c>
      <c r="E111" s="45">
        <v>1000</v>
      </c>
      <c r="F111" s="46">
        <f t="shared" ref="F111:F130" si="44">D111*G111/1000</f>
        <v>176</v>
      </c>
      <c r="G111" s="45">
        <v>500</v>
      </c>
      <c r="H111" s="73">
        <f t="shared" si="31"/>
        <v>167.78523489932886</v>
      </c>
      <c r="I111" s="83">
        <v>1800</v>
      </c>
      <c r="J111" s="47">
        <v>300</v>
      </c>
      <c r="K111" s="46">
        <f t="shared" ref="K111:K130" si="45">L111*D111/1000</f>
        <v>105.6</v>
      </c>
      <c r="L111" s="47">
        <v>300</v>
      </c>
      <c r="M111" s="73">
        <f t="shared" si="38"/>
        <v>100.67114093959732</v>
      </c>
      <c r="N111" s="83">
        <v>1050</v>
      </c>
      <c r="O111" s="47">
        <v>150</v>
      </c>
      <c r="P111" s="46">
        <f t="shared" ref="P111:P132" si="46">Q111*D111/1000</f>
        <v>0</v>
      </c>
      <c r="Q111" s="47"/>
      <c r="R111" s="76">
        <f t="shared" si="34"/>
        <v>0</v>
      </c>
      <c r="S111" s="48">
        <v>0</v>
      </c>
      <c r="T111" s="47">
        <v>150</v>
      </c>
      <c r="U111" s="46">
        <f t="shared" ref="U111:U132" si="47">V111*D111/1000</f>
        <v>35.200000000000003</v>
      </c>
      <c r="V111" s="47">
        <v>100</v>
      </c>
      <c r="W111" s="73">
        <f t="shared" si="42"/>
        <v>33.557046979865774</v>
      </c>
      <c r="X111" s="83">
        <v>760</v>
      </c>
      <c r="Y111" s="47"/>
      <c r="Z111" s="47"/>
      <c r="AA111" s="73">
        <f t="shared" si="39"/>
        <v>0</v>
      </c>
      <c r="AB111" s="47">
        <v>0</v>
      </c>
      <c r="AC111" s="47"/>
      <c r="AD111" s="47"/>
      <c r="AE111" s="47"/>
      <c r="AF111" s="20">
        <f>I111+N111+S111+X111+AB111+AE111</f>
        <v>3610</v>
      </c>
      <c r="AG111" s="9">
        <f>AF111/C111</f>
        <v>1211.4093959731545</v>
      </c>
      <c r="AH111" s="11">
        <f>G111*3.7+L111*3.7+Q111*4.2+V111*7.5+Z111+AE111</f>
        <v>3710</v>
      </c>
      <c r="AI111" s="12">
        <f>AH111/C111</f>
        <v>1244.9664429530201</v>
      </c>
      <c r="AJ111" s="25">
        <v>1</v>
      </c>
      <c r="AK111" s="53" t="s">
        <v>23</v>
      </c>
    </row>
    <row r="112" spans="1:37" ht="15.75" customHeight="1" x14ac:dyDescent="0.25">
      <c r="A112" s="59">
        <v>2</v>
      </c>
      <c r="B112" s="72" t="s">
        <v>25</v>
      </c>
      <c r="C112" s="81">
        <v>2.98</v>
      </c>
      <c r="D112" s="81">
        <v>176</v>
      </c>
      <c r="E112" s="45"/>
      <c r="F112" s="46">
        <f t="shared" si="44"/>
        <v>0</v>
      </c>
      <c r="G112" s="45"/>
      <c r="H112" s="73">
        <f t="shared" si="31"/>
        <v>0</v>
      </c>
      <c r="I112" s="83">
        <v>0</v>
      </c>
      <c r="J112" s="47"/>
      <c r="K112" s="46">
        <f t="shared" si="45"/>
        <v>0</v>
      </c>
      <c r="L112" s="47"/>
      <c r="M112" s="73">
        <f t="shared" si="38"/>
        <v>0</v>
      </c>
      <c r="N112" s="83">
        <v>0</v>
      </c>
      <c r="O112" s="47"/>
      <c r="P112" s="46">
        <f t="shared" si="46"/>
        <v>0</v>
      </c>
      <c r="Q112" s="47"/>
      <c r="R112" s="76">
        <f t="shared" si="34"/>
        <v>0</v>
      </c>
      <c r="S112" s="48">
        <v>0</v>
      </c>
      <c r="T112" s="47"/>
      <c r="U112" s="46">
        <f t="shared" si="47"/>
        <v>0</v>
      </c>
      <c r="V112" s="47"/>
      <c r="W112" s="73">
        <f t="shared" si="42"/>
        <v>0</v>
      </c>
      <c r="X112" s="83">
        <v>0</v>
      </c>
      <c r="Y112" s="47"/>
      <c r="Z112" s="47"/>
      <c r="AA112" s="73">
        <f t="shared" si="39"/>
        <v>0</v>
      </c>
      <c r="AB112" s="47">
        <v>0</v>
      </c>
      <c r="AC112" s="47"/>
      <c r="AD112" s="47">
        <v>1400</v>
      </c>
      <c r="AE112" s="47">
        <v>4200</v>
      </c>
      <c r="AF112" s="20">
        <f t="shared" ref="AF112:AF131" si="48">I112+N112+S112+X112+AB112+AE112</f>
        <v>4200</v>
      </c>
      <c r="AG112" s="9">
        <f t="shared" ref="AG112:AG132" si="49">AF112/C112</f>
        <v>1409.3959731543625</v>
      </c>
      <c r="AH112" s="11">
        <f>G112*3.7+L112*3.7+Q112*4.2+V112*7.5+Z112+AE112</f>
        <v>4200</v>
      </c>
      <c r="AI112" s="12">
        <f t="shared" ref="AI112:AI132" si="50">AH112/C112</f>
        <v>1409.3959731543625</v>
      </c>
      <c r="AJ112" s="25">
        <v>2</v>
      </c>
      <c r="AK112" s="54" t="s">
        <v>25</v>
      </c>
    </row>
    <row r="113" spans="1:37" ht="15.75" customHeight="1" x14ac:dyDescent="0.25">
      <c r="A113" s="59">
        <v>3</v>
      </c>
      <c r="B113" s="21" t="s">
        <v>26</v>
      </c>
      <c r="C113" s="81">
        <v>2.8</v>
      </c>
      <c r="D113" s="81">
        <v>84</v>
      </c>
      <c r="E113" s="45">
        <v>625</v>
      </c>
      <c r="F113" s="46">
        <f t="shared" si="44"/>
        <v>23.52</v>
      </c>
      <c r="G113" s="45">
        <v>280</v>
      </c>
      <c r="H113" s="73">
        <f t="shared" si="31"/>
        <v>100</v>
      </c>
      <c r="I113" s="83">
        <v>1008</v>
      </c>
      <c r="J113" s="47">
        <v>210</v>
      </c>
      <c r="K113" s="46">
        <f t="shared" si="45"/>
        <v>23.52</v>
      </c>
      <c r="L113" s="47">
        <v>280</v>
      </c>
      <c r="M113" s="73">
        <f t="shared" si="38"/>
        <v>100</v>
      </c>
      <c r="N113" s="83">
        <v>980</v>
      </c>
      <c r="O113" s="47">
        <v>500</v>
      </c>
      <c r="P113" s="46">
        <f t="shared" si="46"/>
        <v>0</v>
      </c>
      <c r="Q113" s="47"/>
      <c r="R113" s="76">
        <f t="shared" si="34"/>
        <v>0</v>
      </c>
      <c r="S113" s="48">
        <v>0</v>
      </c>
      <c r="T113" s="47">
        <v>140</v>
      </c>
      <c r="U113" s="46">
        <f t="shared" si="47"/>
        <v>11.76</v>
      </c>
      <c r="V113" s="47">
        <v>140</v>
      </c>
      <c r="W113" s="73">
        <f t="shared" si="42"/>
        <v>50</v>
      </c>
      <c r="X113" s="83">
        <v>1064</v>
      </c>
      <c r="Y113" s="47"/>
      <c r="Z113" s="47"/>
      <c r="AA113" s="73">
        <f t="shared" si="39"/>
        <v>0</v>
      </c>
      <c r="AB113" s="47">
        <v>0</v>
      </c>
      <c r="AC113" s="47"/>
      <c r="AD113" s="47"/>
      <c r="AE113" s="47"/>
      <c r="AF113" s="20">
        <f t="shared" si="48"/>
        <v>3052</v>
      </c>
      <c r="AG113" s="9">
        <f t="shared" si="49"/>
        <v>1090</v>
      </c>
      <c r="AH113" s="11">
        <f>G113*3.7+L113*3.7+Q113*4.2+V113*7.5+Z113+AE113</f>
        <v>3122</v>
      </c>
      <c r="AI113" s="12">
        <f t="shared" si="50"/>
        <v>1115</v>
      </c>
      <c r="AJ113" s="25">
        <v>3</v>
      </c>
      <c r="AK113" s="53" t="s">
        <v>26</v>
      </c>
    </row>
    <row r="114" spans="1:37" ht="16.5" customHeight="1" x14ac:dyDescent="0.25">
      <c r="A114" s="59">
        <v>4</v>
      </c>
      <c r="B114" s="21" t="s">
        <v>27</v>
      </c>
      <c r="C114" s="81">
        <v>2.8</v>
      </c>
      <c r="D114" s="81">
        <v>70</v>
      </c>
      <c r="E114" s="45">
        <v>700</v>
      </c>
      <c r="F114" s="46">
        <f t="shared" si="44"/>
        <v>19.600000000000001</v>
      </c>
      <c r="G114" s="45">
        <v>280</v>
      </c>
      <c r="H114" s="73">
        <f t="shared" si="31"/>
        <v>100</v>
      </c>
      <c r="I114" s="83">
        <v>1008</v>
      </c>
      <c r="J114" s="47">
        <v>200</v>
      </c>
      <c r="K114" s="46">
        <f t="shared" si="45"/>
        <v>19.600000000000001</v>
      </c>
      <c r="L114" s="47">
        <v>280</v>
      </c>
      <c r="M114" s="73">
        <f t="shared" si="38"/>
        <v>100</v>
      </c>
      <c r="N114" s="83">
        <v>980</v>
      </c>
      <c r="O114" s="47">
        <v>350</v>
      </c>
      <c r="P114" s="46">
        <f t="shared" si="46"/>
        <v>19.600000000000001</v>
      </c>
      <c r="Q114" s="47">
        <v>280</v>
      </c>
      <c r="R114" s="76">
        <f t="shared" si="34"/>
        <v>100</v>
      </c>
      <c r="S114" s="48">
        <v>1008</v>
      </c>
      <c r="T114" s="47">
        <v>120</v>
      </c>
      <c r="U114" s="46">
        <f t="shared" si="47"/>
        <v>7</v>
      </c>
      <c r="V114" s="47">
        <v>100</v>
      </c>
      <c r="W114" s="73">
        <f t="shared" si="42"/>
        <v>35.714285714285715</v>
      </c>
      <c r="X114" s="83">
        <v>760</v>
      </c>
      <c r="Y114" s="47"/>
      <c r="Z114" s="47"/>
      <c r="AA114" s="73">
        <f t="shared" si="39"/>
        <v>0</v>
      </c>
      <c r="AB114" s="47">
        <v>0</v>
      </c>
      <c r="AC114" s="47"/>
      <c r="AD114" s="47"/>
      <c r="AE114" s="47"/>
      <c r="AF114" s="20">
        <f t="shared" si="48"/>
        <v>3756</v>
      </c>
      <c r="AG114" s="9">
        <f t="shared" si="49"/>
        <v>1341.4285714285716</v>
      </c>
      <c r="AH114" s="11">
        <f t="shared" ref="AH114:AH131" si="51">G114*3.7+L114*3.7+Q114*4.2+V114*7.5+Z114+AE114</f>
        <v>3998</v>
      </c>
      <c r="AI114" s="12">
        <f t="shared" si="50"/>
        <v>1427.8571428571429</v>
      </c>
      <c r="AJ114" s="25">
        <v>4</v>
      </c>
      <c r="AK114" s="53" t="s">
        <v>27</v>
      </c>
    </row>
    <row r="115" spans="1:37" ht="14.25" customHeight="1" x14ac:dyDescent="0.25">
      <c r="A115" s="59">
        <v>5</v>
      </c>
      <c r="B115" s="21" t="s">
        <v>28</v>
      </c>
      <c r="C115" s="81">
        <v>2.78</v>
      </c>
      <c r="D115" s="81">
        <v>225</v>
      </c>
      <c r="E115" s="45">
        <v>800</v>
      </c>
      <c r="F115" s="46">
        <f t="shared" si="44"/>
        <v>62.55</v>
      </c>
      <c r="G115" s="45">
        <v>278</v>
      </c>
      <c r="H115" s="73">
        <f t="shared" si="31"/>
        <v>100</v>
      </c>
      <c r="I115" s="83">
        <v>1000.8000000000001</v>
      </c>
      <c r="J115" s="47">
        <v>200</v>
      </c>
      <c r="K115" s="46">
        <f t="shared" si="45"/>
        <v>62.55</v>
      </c>
      <c r="L115" s="47">
        <v>278</v>
      </c>
      <c r="M115" s="73">
        <f t="shared" si="38"/>
        <v>100</v>
      </c>
      <c r="N115" s="83">
        <v>973</v>
      </c>
      <c r="O115" s="47">
        <v>300</v>
      </c>
      <c r="P115" s="46">
        <f t="shared" si="46"/>
        <v>43.875</v>
      </c>
      <c r="Q115" s="47">
        <v>195</v>
      </c>
      <c r="R115" s="76">
        <f t="shared" si="34"/>
        <v>70.143884892086334</v>
      </c>
      <c r="S115" s="48">
        <v>702</v>
      </c>
      <c r="T115" s="47">
        <v>100</v>
      </c>
      <c r="U115" s="46">
        <f t="shared" si="47"/>
        <v>21.824999999999999</v>
      </c>
      <c r="V115" s="47">
        <v>97</v>
      </c>
      <c r="W115" s="73">
        <f t="shared" si="42"/>
        <v>34.892086330935257</v>
      </c>
      <c r="X115" s="83">
        <v>737.19999999999993</v>
      </c>
      <c r="Y115" s="49"/>
      <c r="Z115" s="47"/>
      <c r="AA115" s="73">
        <f t="shared" si="39"/>
        <v>0</v>
      </c>
      <c r="AB115" s="47">
        <v>0</v>
      </c>
      <c r="AC115" s="47"/>
      <c r="AD115" s="47"/>
      <c r="AE115" s="47"/>
      <c r="AF115" s="20">
        <f t="shared" si="48"/>
        <v>3413</v>
      </c>
      <c r="AG115" s="9">
        <f t="shared" si="49"/>
        <v>1227.6978417266189</v>
      </c>
      <c r="AH115" s="11">
        <f t="shared" si="51"/>
        <v>3603.7000000000003</v>
      </c>
      <c r="AI115" s="12">
        <f t="shared" si="50"/>
        <v>1296.2949640287773</v>
      </c>
      <c r="AJ115" s="25">
        <v>5</v>
      </c>
      <c r="AK115" s="53" t="s">
        <v>28</v>
      </c>
    </row>
    <row r="116" spans="1:37" ht="14.25" customHeight="1" x14ac:dyDescent="0.25">
      <c r="A116" s="59">
        <v>6</v>
      </c>
      <c r="B116" s="21" t="s">
        <v>29</v>
      </c>
      <c r="C116" s="81">
        <v>2.82</v>
      </c>
      <c r="D116" s="81">
        <v>177</v>
      </c>
      <c r="E116" s="45">
        <v>600</v>
      </c>
      <c r="F116" s="46">
        <f t="shared" si="44"/>
        <v>49.914000000000001</v>
      </c>
      <c r="G116" s="45">
        <v>282</v>
      </c>
      <c r="H116" s="73">
        <f t="shared" si="31"/>
        <v>100</v>
      </c>
      <c r="I116" s="83">
        <v>1015.2</v>
      </c>
      <c r="J116" s="47">
        <v>200</v>
      </c>
      <c r="K116" s="46">
        <f t="shared" si="45"/>
        <v>49.914000000000001</v>
      </c>
      <c r="L116" s="47">
        <v>282</v>
      </c>
      <c r="M116" s="73">
        <f t="shared" si="38"/>
        <v>100</v>
      </c>
      <c r="N116" s="83">
        <v>987</v>
      </c>
      <c r="O116" s="47">
        <v>300</v>
      </c>
      <c r="P116" s="46">
        <f t="shared" si="46"/>
        <v>49.56</v>
      </c>
      <c r="Q116" s="47">
        <v>280</v>
      </c>
      <c r="R116" s="76">
        <f t="shared" si="34"/>
        <v>99.290780141843982</v>
      </c>
      <c r="S116" s="48">
        <v>1008</v>
      </c>
      <c r="T116" s="47">
        <v>100</v>
      </c>
      <c r="U116" s="46">
        <f t="shared" si="47"/>
        <v>17.7</v>
      </c>
      <c r="V116" s="47">
        <v>100</v>
      </c>
      <c r="W116" s="73">
        <f t="shared" si="42"/>
        <v>35.460992907801419</v>
      </c>
      <c r="X116" s="83">
        <v>760</v>
      </c>
      <c r="Y116" s="47"/>
      <c r="Z116" s="47"/>
      <c r="AA116" s="73">
        <f t="shared" si="39"/>
        <v>0</v>
      </c>
      <c r="AB116" s="47">
        <v>0</v>
      </c>
      <c r="AC116" s="47"/>
      <c r="AD116" s="47"/>
      <c r="AE116" s="47"/>
      <c r="AF116" s="20">
        <f t="shared" si="48"/>
        <v>3770.2</v>
      </c>
      <c r="AG116" s="9">
        <f t="shared" si="49"/>
        <v>1336.950354609929</v>
      </c>
      <c r="AH116" s="11">
        <f t="shared" si="51"/>
        <v>4012.8</v>
      </c>
      <c r="AI116" s="12">
        <f t="shared" si="50"/>
        <v>1422.9787234042556</v>
      </c>
      <c r="AJ116" s="25">
        <v>6</v>
      </c>
      <c r="AK116" s="53" t="s">
        <v>29</v>
      </c>
    </row>
    <row r="117" spans="1:37" ht="16.5" customHeight="1" x14ac:dyDescent="0.25">
      <c r="A117" s="59">
        <v>7</v>
      </c>
      <c r="B117" s="21" t="s">
        <v>173</v>
      </c>
      <c r="C117" s="81">
        <v>2.78</v>
      </c>
      <c r="D117" s="81">
        <v>36</v>
      </c>
      <c r="E117" s="45">
        <v>556</v>
      </c>
      <c r="F117" s="46">
        <f t="shared" si="44"/>
        <v>5.04</v>
      </c>
      <c r="G117" s="45">
        <v>140</v>
      </c>
      <c r="H117" s="73">
        <f t="shared" si="31"/>
        <v>50.359712230215834</v>
      </c>
      <c r="I117" s="83">
        <v>504</v>
      </c>
      <c r="J117" s="47">
        <v>278</v>
      </c>
      <c r="K117" s="46">
        <f t="shared" si="45"/>
        <v>0</v>
      </c>
      <c r="L117" s="47"/>
      <c r="M117" s="73">
        <f t="shared" si="38"/>
        <v>0</v>
      </c>
      <c r="N117" s="83">
        <v>0</v>
      </c>
      <c r="O117" s="47">
        <v>600</v>
      </c>
      <c r="P117" s="46">
        <f t="shared" si="46"/>
        <v>0</v>
      </c>
      <c r="Q117" s="47"/>
      <c r="R117" s="76">
        <f t="shared" si="34"/>
        <v>0</v>
      </c>
      <c r="S117" s="48">
        <v>0</v>
      </c>
      <c r="T117" s="47">
        <v>150</v>
      </c>
      <c r="U117" s="46">
        <f t="shared" si="47"/>
        <v>0</v>
      </c>
      <c r="V117" s="47"/>
      <c r="W117" s="73">
        <f t="shared" si="42"/>
        <v>0</v>
      </c>
      <c r="X117" s="83">
        <v>0</v>
      </c>
      <c r="Y117" s="47"/>
      <c r="Z117" s="47"/>
      <c r="AA117" s="73">
        <f t="shared" si="39"/>
        <v>0</v>
      </c>
      <c r="AB117" s="47">
        <v>0</v>
      </c>
      <c r="AC117" s="47"/>
      <c r="AD117" s="47"/>
      <c r="AE117" s="47"/>
      <c r="AF117" s="20">
        <f t="shared" si="48"/>
        <v>504</v>
      </c>
      <c r="AG117" s="9">
        <f t="shared" si="49"/>
        <v>181.294964028777</v>
      </c>
      <c r="AH117" s="11">
        <f t="shared" si="51"/>
        <v>518</v>
      </c>
      <c r="AI117" s="12">
        <f t="shared" si="50"/>
        <v>186.33093525179856</v>
      </c>
      <c r="AJ117" s="25">
        <v>7</v>
      </c>
      <c r="AK117" s="53" t="s">
        <v>173</v>
      </c>
    </row>
    <row r="118" spans="1:37" ht="15.75" customHeight="1" x14ac:dyDescent="0.25">
      <c r="A118" s="59">
        <v>8</v>
      </c>
      <c r="B118" s="21" t="s">
        <v>174</v>
      </c>
      <c r="C118" s="81">
        <v>2.78</v>
      </c>
      <c r="D118" s="81">
        <v>95</v>
      </c>
      <c r="E118" s="45">
        <v>556</v>
      </c>
      <c r="F118" s="46">
        <f>D118*G118/1000</f>
        <v>0</v>
      </c>
      <c r="G118" s="45"/>
      <c r="H118" s="73">
        <f t="shared" si="31"/>
        <v>0</v>
      </c>
      <c r="I118" s="83">
        <v>0</v>
      </c>
      <c r="J118" s="47">
        <v>278</v>
      </c>
      <c r="K118" s="46">
        <f>L118*D118/1000</f>
        <v>26.41</v>
      </c>
      <c r="L118" s="47">
        <v>278</v>
      </c>
      <c r="M118" s="73">
        <f t="shared" si="38"/>
        <v>100</v>
      </c>
      <c r="N118" s="83">
        <v>973</v>
      </c>
      <c r="O118" s="47">
        <v>556</v>
      </c>
      <c r="P118" s="46">
        <f>Q118*D118/1000</f>
        <v>0</v>
      </c>
      <c r="Q118" s="47"/>
      <c r="R118" s="76">
        <f t="shared" si="34"/>
        <v>0</v>
      </c>
      <c r="S118" s="48">
        <v>0</v>
      </c>
      <c r="T118" s="47">
        <v>140</v>
      </c>
      <c r="U118" s="46">
        <f>V118*D118/1000</f>
        <v>9.2149999999999999</v>
      </c>
      <c r="V118" s="47">
        <v>97</v>
      </c>
      <c r="W118" s="73">
        <f t="shared" si="42"/>
        <v>34.892086330935257</v>
      </c>
      <c r="X118" s="83">
        <v>737.19999999999993</v>
      </c>
      <c r="Y118" s="47"/>
      <c r="Z118" s="47"/>
      <c r="AA118" s="73">
        <f t="shared" si="39"/>
        <v>0</v>
      </c>
      <c r="AB118" s="47">
        <v>0</v>
      </c>
      <c r="AC118" s="47"/>
      <c r="AD118" s="47"/>
      <c r="AE118" s="47"/>
      <c r="AF118" s="20">
        <f t="shared" si="48"/>
        <v>1710.1999999999998</v>
      </c>
      <c r="AG118" s="9">
        <f t="shared" si="49"/>
        <v>615.1798561151079</v>
      </c>
      <c r="AH118" s="11">
        <f t="shared" si="51"/>
        <v>1756.1000000000001</v>
      </c>
      <c r="AI118" s="12">
        <f>AH118/C118</f>
        <v>631.69064748201447</v>
      </c>
      <c r="AJ118" s="25">
        <v>8</v>
      </c>
      <c r="AK118" s="53" t="s">
        <v>174</v>
      </c>
    </row>
    <row r="119" spans="1:37" ht="15" customHeight="1" x14ac:dyDescent="0.25">
      <c r="A119" s="59">
        <v>9</v>
      </c>
      <c r="B119" s="21" t="s">
        <v>30</v>
      </c>
      <c r="C119" s="81">
        <v>2.78</v>
      </c>
      <c r="D119" s="81">
        <v>60</v>
      </c>
      <c r="E119" s="45">
        <v>800</v>
      </c>
      <c r="F119" s="46">
        <f t="shared" si="44"/>
        <v>33.36</v>
      </c>
      <c r="G119" s="45">
        <v>556</v>
      </c>
      <c r="H119" s="73">
        <f t="shared" si="31"/>
        <v>200</v>
      </c>
      <c r="I119" s="83">
        <v>2001.6000000000001</v>
      </c>
      <c r="J119" s="47">
        <v>200</v>
      </c>
      <c r="K119" s="46">
        <f t="shared" si="45"/>
        <v>0</v>
      </c>
      <c r="L119" s="47"/>
      <c r="M119" s="73">
        <f t="shared" si="38"/>
        <v>0</v>
      </c>
      <c r="N119" s="83">
        <v>0</v>
      </c>
      <c r="O119" s="47">
        <v>300</v>
      </c>
      <c r="P119" s="46">
        <f t="shared" si="46"/>
        <v>11.7</v>
      </c>
      <c r="Q119" s="47">
        <v>195</v>
      </c>
      <c r="R119" s="76">
        <f t="shared" si="34"/>
        <v>70.143884892086334</v>
      </c>
      <c r="S119" s="48">
        <v>702</v>
      </c>
      <c r="T119" s="47">
        <v>100</v>
      </c>
      <c r="U119" s="46">
        <f t="shared" si="47"/>
        <v>5.82</v>
      </c>
      <c r="V119" s="47">
        <v>97</v>
      </c>
      <c r="W119" s="73">
        <f t="shared" si="42"/>
        <v>34.892086330935257</v>
      </c>
      <c r="X119" s="83">
        <v>737.19999999999993</v>
      </c>
      <c r="Y119" s="47"/>
      <c r="Z119" s="47"/>
      <c r="AA119" s="73">
        <f t="shared" si="39"/>
        <v>0</v>
      </c>
      <c r="AB119" s="47">
        <v>0</v>
      </c>
      <c r="AC119" s="47"/>
      <c r="AD119" s="47"/>
      <c r="AE119" s="47"/>
      <c r="AF119" s="20">
        <f t="shared" si="48"/>
        <v>3440.8</v>
      </c>
      <c r="AG119" s="9">
        <f t="shared" si="49"/>
        <v>1237.6978417266189</v>
      </c>
      <c r="AH119" s="11">
        <f t="shared" si="51"/>
        <v>3603.7000000000003</v>
      </c>
      <c r="AI119" s="12">
        <f t="shared" si="50"/>
        <v>1296.2949640287773</v>
      </c>
      <c r="AJ119" s="25">
        <v>9</v>
      </c>
      <c r="AK119" s="53" t="s">
        <v>30</v>
      </c>
    </row>
    <row r="120" spans="1:37" ht="14.25" customHeight="1" x14ac:dyDescent="0.25">
      <c r="A120" s="59">
        <v>10</v>
      </c>
      <c r="B120" s="53" t="s">
        <v>175</v>
      </c>
      <c r="C120" s="82">
        <v>0.1983</v>
      </c>
      <c r="D120" s="82">
        <v>142</v>
      </c>
      <c r="E120" s="18"/>
      <c r="F120" s="50">
        <f>D120*G120/1000</f>
        <v>0</v>
      </c>
      <c r="G120" s="18"/>
      <c r="H120" s="73">
        <f t="shared" si="31"/>
        <v>0</v>
      </c>
      <c r="I120" s="84">
        <v>0</v>
      </c>
      <c r="J120" s="19"/>
      <c r="K120" s="50">
        <f>L120*D120/1000</f>
        <v>0</v>
      </c>
      <c r="L120" s="19"/>
      <c r="M120" s="73">
        <f t="shared" si="38"/>
        <v>0</v>
      </c>
      <c r="N120" s="84">
        <v>0</v>
      </c>
      <c r="O120" s="19"/>
      <c r="P120" s="50">
        <f>Q120*D120/1000</f>
        <v>0</v>
      </c>
      <c r="Q120" s="19"/>
      <c r="R120" s="76">
        <f t="shared" si="34"/>
        <v>0</v>
      </c>
      <c r="S120" s="51">
        <v>0</v>
      </c>
      <c r="T120" s="19"/>
      <c r="U120" s="50">
        <f>V120*D120/1000</f>
        <v>0</v>
      </c>
      <c r="V120" s="52"/>
      <c r="W120" s="73">
        <f t="shared" si="42"/>
        <v>0</v>
      </c>
      <c r="X120" s="84">
        <v>0</v>
      </c>
      <c r="Y120" s="19"/>
      <c r="Z120" s="19"/>
      <c r="AA120" s="73">
        <f t="shared" si="39"/>
        <v>0</v>
      </c>
      <c r="AB120" s="19">
        <v>0</v>
      </c>
      <c r="AC120" s="19"/>
      <c r="AD120" s="19">
        <v>1500</v>
      </c>
      <c r="AE120" s="19">
        <v>300</v>
      </c>
      <c r="AF120" s="20">
        <f t="shared" si="48"/>
        <v>300</v>
      </c>
      <c r="AG120" s="9">
        <f t="shared" si="49"/>
        <v>1512.8593040847202</v>
      </c>
      <c r="AH120" s="11">
        <f t="shared" si="51"/>
        <v>300</v>
      </c>
      <c r="AI120" s="12">
        <f t="shared" si="50"/>
        <v>1512.8593040847202</v>
      </c>
      <c r="AJ120" s="25">
        <v>10</v>
      </c>
      <c r="AK120" s="53" t="s">
        <v>175</v>
      </c>
    </row>
    <row r="121" spans="1:37" ht="12.75" customHeight="1" x14ac:dyDescent="0.25">
      <c r="A121" s="59">
        <v>11</v>
      </c>
      <c r="B121" s="21" t="s">
        <v>176</v>
      </c>
      <c r="C121" s="82">
        <v>0.45</v>
      </c>
      <c r="D121" s="82">
        <v>506</v>
      </c>
      <c r="E121" s="18">
        <v>300</v>
      </c>
      <c r="F121" s="50">
        <f>D121*G121/1000</f>
        <v>22.77</v>
      </c>
      <c r="G121" s="18">
        <v>45</v>
      </c>
      <c r="H121" s="73">
        <f t="shared" si="31"/>
        <v>100</v>
      </c>
      <c r="I121" s="84">
        <v>162</v>
      </c>
      <c r="J121" s="19">
        <v>100</v>
      </c>
      <c r="K121" s="50">
        <f>L121*D121/1000</f>
        <v>22.77</v>
      </c>
      <c r="L121" s="19">
        <v>45</v>
      </c>
      <c r="M121" s="73">
        <f t="shared" si="38"/>
        <v>100</v>
      </c>
      <c r="N121" s="84">
        <v>158</v>
      </c>
      <c r="O121" s="19">
        <v>400</v>
      </c>
      <c r="P121" s="50">
        <f>Q121*D121/1000</f>
        <v>16.192</v>
      </c>
      <c r="Q121" s="19">
        <v>32</v>
      </c>
      <c r="R121" s="76">
        <f t="shared" si="34"/>
        <v>71.111111111111114</v>
      </c>
      <c r="S121" s="51">
        <v>115</v>
      </c>
      <c r="T121" s="19">
        <v>100</v>
      </c>
      <c r="U121" s="50">
        <f>V121*D121/1000</f>
        <v>8.0960000000000001</v>
      </c>
      <c r="V121" s="19">
        <v>16</v>
      </c>
      <c r="W121" s="73">
        <f t="shared" si="42"/>
        <v>35.555555555555557</v>
      </c>
      <c r="X121" s="84">
        <v>122</v>
      </c>
      <c r="Y121" s="19"/>
      <c r="Z121" s="19"/>
      <c r="AA121" s="73">
        <f t="shared" si="39"/>
        <v>0</v>
      </c>
      <c r="AB121" s="19">
        <v>0</v>
      </c>
      <c r="AC121" s="19"/>
      <c r="AD121" s="19"/>
      <c r="AE121" s="19"/>
      <c r="AF121" s="20">
        <f t="shared" si="48"/>
        <v>557</v>
      </c>
      <c r="AG121" s="9">
        <f t="shared" si="49"/>
        <v>1237.7777777777778</v>
      </c>
      <c r="AH121" s="11">
        <f t="shared" si="51"/>
        <v>587.4</v>
      </c>
      <c r="AI121" s="12">
        <f t="shared" si="50"/>
        <v>1305.3333333333333</v>
      </c>
      <c r="AJ121" s="25">
        <v>11</v>
      </c>
      <c r="AK121" s="53" t="s">
        <v>176</v>
      </c>
    </row>
    <row r="122" spans="1:37" ht="21" customHeight="1" x14ac:dyDescent="0.25">
      <c r="A122" s="59">
        <v>12</v>
      </c>
      <c r="B122" s="22" t="s">
        <v>31</v>
      </c>
      <c r="C122" s="81">
        <v>2.08</v>
      </c>
      <c r="D122" s="81">
        <v>102</v>
      </c>
      <c r="E122" s="45">
        <v>450</v>
      </c>
      <c r="F122" s="46">
        <f t="shared" si="44"/>
        <v>0</v>
      </c>
      <c r="G122" s="45"/>
      <c r="H122" s="73">
        <f t="shared" si="31"/>
        <v>0</v>
      </c>
      <c r="I122" s="83">
        <v>0</v>
      </c>
      <c r="J122" s="47">
        <v>150</v>
      </c>
      <c r="K122" s="46">
        <f t="shared" si="45"/>
        <v>0</v>
      </c>
      <c r="L122" s="47"/>
      <c r="M122" s="73">
        <f t="shared" si="38"/>
        <v>0</v>
      </c>
      <c r="N122" s="83">
        <v>0</v>
      </c>
      <c r="O122" s="47">
        <v>350</v>
      </c>
      <c r="P122" s="46">
        <f t="shared" si="46"/>
        <v>0</v>
      </c>
      <c r="Q122" s="47"/>
      <c r="R122" s="76">
        <f t="shared" si="34"/>
        <v>0</v>
      </c>
      <c r="S122" s="48">
        <v>0</v>
      </c>
      <c r="T122" s="47">
        <v>100</v>
      </c>
      <c r="U122" s="46">
        <f t="shared" si="47"/>
        <v>0</v>
      </c>
      <c r="V122" s="47"/>
      <c r="W122" s="73">
        <f t="shared" si="42"/>
        <v>0</v>
      </c>
      <c r="X122" s="83">
        <v>0</v>
      </c>
      <c r="Y122" s="47"/>
      <c r="Z122" s="47"/>
      <c r="AA122" s="73">
        <f t="shared" si="39"/>
        <v>0</v>
      </c>
      <c r="AB122" s="47">
        <v>0</v>
      </c>
      <c r="AC122" s="47"/>
      <c r="AD122" s="47"/>
      <c r="AE122" s="47"/>
      <c r="AF122" s="20">
        <f t="shared" si="48"/>
        <v>0</v>
      </c>
      <c r="AG122" s="9">
        <f t="shared" si="49"/>
        <v>0</v>
      </c>
      <c r="AH122" s="11">
        <f t="shared" si="51"/>
        <v>0</v>
      </c>
      <c r="AI122" s="12">
        <f t="shared" si="50"/>
        <v>0</v>
      </c>
      <c r="AJ122" s="25">
        <v>12</v>
      </c>
      <c r="AK122" s="55" t="s">
        <v>31</v>
      </c>
    </row>
    <row r="123" spans="1:37" ht="14.25" customHeight="1" x14ac:dyDescent="0.25">
      <c r="A123" s="59">
        <v>13</v>
      </c>
      <c r="B123" s="22" t="s">
        <v>32</v>
      </c>
      <c r="C123" s="82">
        <v>2.08</v>
      </c>
      <c r="D123" s="82">
        <v>11.5</v>
      </c>
      <c r="E123" s="18"/>
      <c r="F123" s="50">
        <f t="shared" si="44"/>
        <v>0</v>
      </c>
      <c r="G123" s="18"/>
      <c r="H123" s="73">
        <f t="shared" si="31"/>
        <v>0</v>
      </c>
      <c r="I123" s="84">
        <v>0</v>
      </c>
      <c r="J123" s="19">
        <v>400</v>
      </c>
      <c r="K123" s="50">
        <f t="shared" si="45"/>
        <v>2.2999999999999998</v>
      </c>
      <c r="L123" s="19">
        <v>200</v>
      </c>
      <c r="M123" s="73">
        <f t="shared" si="38"/>
        <v>96.153846153846146</v>
      </c>
      <c r="N123" s="84">
        <v>700</v>
      </c>
      <c r="O123" s="19">
        <v>400</v>
      </c>
      <c r="P123" s="50">
        <f t="shared" si="46"/>
        <v>0</v>
      </c>
      <c r="Q123" s="19"/>
      <c r="R123" s="76">
        <f t="shared" si="34"/>
        <v>0</v>
      </c>
      <c r="S123" s="51">
        <v>0</v>
      </c>
      <c r="T123" s="19">
        <v>100</v>
      </c>
      <c r="U123" s="50">
        <f t="shared" si="47"/>
        <v>0</v>
      </c>
      <c r="V123" s="19"/>
      <c r="W123" s="73">
        <f t="shared" si="42"/>
        <v>0</v>
      </c>
      <c r="X123" s="84">
        <v>0</v>
      </c>
      <c r="Y123" s="19"/>
      <c r="Z123" s="19"/>
      <c r="AA123" s="73">
        <f t="shared" si="39"/>
        <v>0</v>
      </c>
      <c r="AB123" s="19">
        <v>0</v>
      </c>
      <c r="AC123" s="19"/>
      <c r="AD123" s="19"/>
      <c r="AE123" s="19"/>
      <c r="AF123" s="20">
        <f t="shared" si="48"/>
        <v>700</v>
      </c>
      <c r="AG123" s="9">
        <f t="shared" si="49"/>
        <v>336.53846153846155</v>
      </c>
      <c r="AH123" s="11">
        <f t="shared" si="51"/>
        <v>740</v>
      </c>
      <c r="AI123" s="12">
        <f t="shared" si="50"/>
        <v>355.76923076923077</v>
      </c>
      <c r="AJ123" s="25">
        <v>13</v>
      </c>
      <c r="AK123" s="55" t="s">
        <v>32</v>
      </c>
    </row>
    <row r="124" spans="1:37" ht="19.5" customHeight="1" x14ac:dyDescent="0.25">
      <c r="A124" s="59">
        <v>14</v>
      </c>
      <c r="B124" s="22" t="s">
        <v>113</v>
      </c>
      <c r="C124" s="82">
        <v>2.08</v>
      </c>
      <c r="D124" s="82">
        <v>367</v>
      </c>
      <c r="E124" s="18">
        <v>385</v>
      </c>
      <c r="F124" s="50">
        <f>D124*G124/1000</f>
        <v>0</v>
      </c>
      <c r="G124" s="18"/>
      <c r="H124" s="73">
        <f t="shared" si="31"/>
        <v>0</v>
      </c>
      <c r="I124" s="84">
        <v>0</v>
      </c>
      <c r="J124" s="19">
        <v>100</v>
      </c>
      <c r="K124" s="50">
        <f>L124*D124/1000</f>
        <v>0</v>
      </c>
      <c r="L124" s="19"/>
      <c r="M124" s="73">
        <f t="shared" si="38"/>
        <v>0</v>
      </c>
      <c r="N124" s="84">
        <v>0</v>
      </c>
      <c r="O124" s="19">
        <v>485</v>
      </c>
      <c r="P124" s="50">
        <f>Q124*D124/1000</f>
        <v>0</v>
      </c>
      <c r="Q124" s="19"/>
      <c r="R124" s="76">
        <f t="shared" si="34"/>
        <v>0</v>
      </c>
      <c r="S124" s="51">
        <v>0</v>
      </c>
      <c r="T124" s="19">
        <v>120</v>
      </c>
      <c r="U124" s="50">
        <f>V124*D124/1000</f>
        <v>0</v>
      </c>
      <c r="V124" s="19"/>
      <c r="W124" s="73">
        <f t="shared" si="42"/>
        <v>0</v>
      </c>
      <c r="X124" s="84">
        <v>0</v>
      </c>
      <c r="Y124" s="19"/>
      <c r="Z124" s="19"/>
      <c r="AA124" s="73">
        <f t="shared" si="39"/>
        <v>0</v>
      </c>
      <c r="AB124" s="19">
        <v>0</v>
      </c>
      <c r="AC124" s="19"/>
      <c r="AD124" s="19">
        <v>400</v>
      </c>
      <c r="AE124" s="19">
        <v>800</v>
      </c>
      <c r="AF124" s="20">
        <f t="shared" si="48"/>
        <v>800</v>
      </c>
      <c r="AG124" s="9">
        <f t="shared" si="49"/>
        <v>384.61538461538458</v>
      </c>
      <c r="AH124" s="11">
        <f t="shared" si="51"/>
        <v>800</v>
      </c>
      <c r="AI124" s="12">
        <f t="shared" si="50"/>
        <v>384.61538461538458</v>
      </c>
      <c r="AJ124" s="25">
        <v>14</v>
      </c>
      <c r="AK124" s="55" t="s">
        <v>113</v>
      </c>
    </row>
    <row r="125" spans="1:37" ht="19.5" customHeight="1" x14ac:dyDescent="0.25">
      <c r="A125" s="59">
        <v>15</v>
      </c>
      <c r="B125" s="22" t="s">
        <v>33</v>
      </c>
      <c r="C125" s="82">
        <v>2.08</v>
      </c>
      <c r="D125" s="82">
        <v>320</v>
      </c>
      <c r="E125" s="18">
        <v>300</v>
      </c>
      <c r="F125" s="50">
        <f>D125*G125/1000</f>
        <v>32</v>
      </c>
      <c r="G125" s="18">
        <v>100</v>
      </c>
      <c r="H125" s="73">
        <f t="shared" si="31"/>
        <v>48.076923076923073</v>
      </c>
      <c r="I125" s="84">
        <v>360</v>
      </c>
      <c r="J125" s="19">
        <v>100</v>
      </c>
      <c r="K125" s="50">
        <f>L125*D125/1000</f>
        <v>0</v>
      </c>
      <c r="L125" s="19"/>
      <c r="M125" s="73">
        <f t="shared" si="38"/>
        <v>0</v>
      </c>
      <c r="N125" s="84">
        <v>0</v>
      </c>
      <c r="O125" s="19">
        <v>500</v>
      </c>
      <c r="P125" s="50">
        <f>Q125*D125/1000</f>
        <v>0</v>
      </c>
      <c r="Q125" s="19"/>
      <c r="R125" s="76">
        <f t="shared" si="34"/>
        <v>0</v>
      </c>
      <c r="S125" s="51">
        <v>0</v>
      </c>
      <c r="T125" s="19">
        <v>100</v>
      </c>
      <c r="U125" s="50">
        <f>V125*D125/1000</f>
        <v>0</v>
      </c>
      <c r="V125" s="19"/>
      <c r="W125" s="73">
        <f t="shared" si="42"/>
        <v>0</v>
      </c>
      <c r="X125" s="84">
        <v>0</v>
      </c>
      <c r="Y125" s="19"/>
      <c r="Z125" s="19"/>
      <c r="AA125" s="73">
        <f t="shared" si="39"/>
        <v>0</v>
      </c>
      <c r="AB125" s="19">
        <v>0</v>
      </c>
      <c r="AC125" s="19"/>
      <c r="AD125" s="19"/>
      <c r="AE125" s="19"/>
      <c r="AF125" s="20">
        <f t="shared" si="48"/>
        <v>360</v>
      </c>
      <c r="AG125" s="9">
        <f t="shared" si="49"/>
        <v>173.07692307692307</v>
      </c>
      <c r="AH125" s="11">
        <f t="shared" si="51"/>
        <v>370</v>
      </c>
      <c r="AI125" s="12">
        <f t="shared" si="50"/>
        <v>177.88461538461539</v>
      </c>
      <c r="AJ125" s="25">
        <v>15</v>
      </c>
      <c r="AK125" s="55" t="s">
        <v>33</v>
      </c>
    </row>
    <row r="126" spans="1:37" ht="16.5" customHeight="1" x14ac:dyDescent="0.25">
      <c r="A126" s="59">
        <v>16</v>
      </c>
      <c r="B126" s="22" t="s">
        <v>177</v>
      </c>
      <c r="C126" s="82">
        <v>2.08</v>
      </c>
      <c r="D126" s="82">
        <v>33</v>
      </c>
      <c r="E126" s="18"/>
      <c r="F126" s="50">
        <f>D126*G126/1000</f>
        <v>0</v>
      </c>
      <c r="G126" s="18"/>
      <c r="H126" s="73">
        <f t="shared" si="31"/>
        <v>0</v>
      </c>
      <c r="I126" s="84">
        <v>0</v>
      </c>
      <c r="J126" s="19"/>
      <c r="K126" s="50">
        <f>L126*D126/1000</f>
        <v>0</v>
      </c>
      <c r="L126" s="19"/>
      <c r="M126" s="73">
        <f t="shared" si="38"/>
        <v>0</v>
      </c>
      <c r="N126" s="84">
        <v>0</v>
      </c>
      <c r="O126" s="19"/>
      <c r="P126" s="50">
        <f>Q126*D126/1000</f>
        <v>0</v>
      </c>
      <c r="Q126" s="19"/>
      <c r="R126" s="76">
        <f t="shared" si="34"/>
        <v>0</v>
      </c>
      <c r="S126" s="51">
        <v>0</v>
      </c>
      <c r="T126" s="19"/>
      <c r="U126" s="50">
        <f>V126*D126/1000</f>
        <v>0</v>
      </c>
      <c r="V126" s="19"/>
      <c r="W126" s="73">
        <f t="shared" si="42"/>
        <v>0</v>
      </c>
      <c r="X126" s="84">
        <v>0</v>
      </c>
      <c r="Y126" s="19"/>
      <c r="Z126" s="19"/>
      <c r="AA126" s="73">
        <f t="shared" si="39"/>
        <v>0</v>
      </c>
      <c r="AB126" s="19">
        <v>0</v>
      </c>
      <c r="AC126" s="19"/>
      <c r="AD126" s="19">
        <v>400</v>
      </c>
      <c r="AE126" s="19">
        <v>800</v>
      </c>
      <c r="AF126" s="20">
        <f t="shared" si="48"/>
        <v>800</v>
      </c>
      <c r="AG126" s="9">
        <f t="shared" si="49"/>
        <v>384.61538461538458</v>
      </c>
      <c r="AH126" s="11">
        <f t="shared" si="51"/>
        <v>800</v>
      </c>
      <c r="AI126" s="12">
        <f t="shared" si="50"/>
        <v>384.61538461538458</v>
      </c>
      <c r="AJ126" s="25">
        <v>16</v>
      </c>
      <c r="AK126" s="55" t="s">
        <v>177</v>
      </c>
    </row>
    <row r="127" spans="1:37" ht="14.25" customHeight="1" x14ac:dyDescent="0.25">
      <c r="A127" s="59">
        <v>17</v>
      </c>
      <c r="B127" s="22" t="s">
        <v>178</v>
      </c>
      <c r="C127" s="82">
        <v>2.08</v>
      </c>
      <c r="D127" s="82">
        <v>30</v>
      </c>
      <c r="E127" s="18"/>
      <c r="F127" s="50">
        <f>D127*G127/1000</f>
        <v>0</v>
      </c>
      <c r="G127" s="18"/>
      <c r="H127" s="73">
        <f t="shared" si="31"/>
        <v>0</v>
      </c>
      <c r="I127" s="84">
        <v>0</v>
      </c>
      <c r="J127" s="19"/>
      <c r="K127" s="50">
        <f>L127*D127/1000</f>
        <v>0</v>
      </c>
      <c r="L127" s="19"/>
      <c r="M127" s="73">
        <f t="shared" si="38"/>
        <v>0</v>
      </c>
      <c r="N127" s="84">
        <v>0</v>
      </c>
      <c r="O127" s="19"/>
      <c r="P127" s="50">
        <f>Q127*D127/1000</f>
        <v>0</v>
      </c>
      <c r="Q127" s="19"/>
      <c r="R127" s="76">
        <f t="shared" si="34"/>
        <v>0</v>
      </c>
      <c r="S127" s="51">
        <v>0</v>
      </c>
      <c r="T127" s="19"/>
      <c r="U127" s="50">
        <f>V127*D127/1000</f>
        <v>0</v>
      </c>
      <c r="V127" s="19"/>
      <c r="W127" s="73">
        <f t="shared" si="42"/>
        <v>0</v>
      </c>
      <c r="X127" s="84">
        <v>0</v>
      </c>
      <c r="Y127" s="19"/>
      <c r="Z127" s="19"/>
      <c r="AA127" s="73">
        <f t="shared" si="39"/>
        <v>0</v>
      </c>
      <c r="AB127" s="19">
        <v>0</v>
      </c>
      <c r="AC127" s="19"/>
      <c r="AD127" s="19">
        <v>400</v>
      </c>
      <c r="AE127" s="19">
        <v>800</v>
      </c>
      <c r="AF127" s="20">
        <f t="shared" si="48"/>
        <v>800</v>
      </c>
      <c r="AG127" s="9">
        <f t="shared" si="49"/>
        <v>384.61538461538458</v>
      </c>
      <c r="AH127" s="11">
        <f t="shared" si="51"/>
        <v>800</v>
      </c>
      <c r="AI127" s="12">
        <f t="shared" si="50"/>
        <v>384.61538461538458</v>
      </c>
      <c r="AJ127" s="25">
        <v>17</v>
      </c>
      <c r="AK127" s="55" t="s">
        <v>178</v>
      </c>
    </row>
    <row r="128" spans="1:37" x14ac:dyDescent="0.25">
      <c r="A128" s="59">
        <v>18</v>
      </c>
      <c r="B128" s="23" t="s">
        <v>34</v>
      </c>
      <c r="C128" s="81">
        <v>2.08</v>
      </c>
      <c r="D128" s="81">
        <v>210</v>
      </c>
      <c r="E128" s="45">
        <v>300</v>
      </c>
      <c r="F128" s="46">
        <f t="shared" si="44"/>
        <v>0</v>
      </c>
      <c r="G128" s="45"/>
      <c r="H128" s="73">
        <f t="shared" si="31"/>
        <v>0</v>
      </c>
      <c r="I128" s="83">
        <v>0</v>
      </c>
      <c r="J128" s="47">
        <v>100</v>
      </c>
      <c r="K128" s="46">
        <f t="shared" si="45"/>
        <v>0</v>
      </c>
      <c r="L128" s="45"/>
      <c r="M128" s="73">
        <f t="shared" si="38"/>
        <v>0</v>
      </c>
      <c r="N128" s="83">
        <v>0</v>
      </c>
      <c r="O128" s="47">
        <v>500</v>
      </c>
      <c r="P128" s="46">
        <f t="shared" si="46"/>
        <v>0</v>
      </c>
      <c r="Q128" s="47"/>
      <c r="R128" s="76">
        <f t="shared" si="34"/>
        <v>0</v>
      </c>
      <c r="S128" s="48">
        <v>0</v>
      </c>
      <c r="T128" s="47">
        <v>100</v>
      </c>
      <c r="U128" s="46">
        <f t="shared" si="47"/>
        <v>0</v>
      </c>
      <c r="V128" s="47"/>
      <c r="W128" s="73">
        <f t="shared" si="42"/>
        <v>0</v>
      </c>
      <c r="X128" s="83">
        <v>0</v>
      </c>
      <c r="Y128" s="47"/>
      <c r="Z128" s="47"/>
      <c r="AA128" s="73">
        <f t="shared" si="39"/>
        <v>0</v>
      </c>
      <c r="AB128" s="47">
        <v>0</v>
      </c>
      <c r="AC128" s="47"/>
      <c r="AD128" s="19">
        <v>400</v>
      </c>
      <c r="AE128" s="19">
        <v>800</v>
      </c>
      <c r="AF128" s="20">
        <f t="shared" si="48"/>
        <v>800</v>
      </c>
      <c r="AG128" s="9">
        <f t="shared" si="49"/>
        <v>384.61538461538458</v>
      </c>
      <c r="AH128" s="11">
        <f t="shared" si="51"/>
        <v>800</v>
      </c>
      <c r="AI128" s="12">
        <f t="shared" si="50"/>
        <v>384.61538461538458</v>
      </c>
      <c r="AJ128" s="25"/>
      <c r="AK128" s="56" t="s">
        <v>34</v>
      </c>
    </row>
    <row r="129" spans="1:37" ht="13.5" customHeight="1" x14ac:dyDescent="0.25">
      <c r="A129" s="59">
        <v>19</v>
      </c>
      <c r="B129" s="21" t="s">
        <v>114</v>
      </c>
      <c r="C129" s="81">
        <v>2.09</v>
      </c>
      <c r="D129" s="81">
        <v>880</v>
      </c>
      <c r="E129" s="45">
        <v>500</v>
      </c>
      <c r="F129" s="46">
        <f t="shared" si="44"/>
        <v>422.4</v>
      </c>
      <c r="G129" s="45">
        <v>480</v>
      </c>
      <c r="H129" s="73">
        <f t="shared" si="31"/>
        <v>229.66507177033495</v>
      </c>
      <c r="I129" s="83">
        <v>1728</v>
      </c>
      <c r="J129" s="47"/>
      <c r="K129" s="46">
        <f t="shared" si="45"/>
        <v>0</v>
      </c>
      <c r="L129" s="45"/>
      <c r="M129" s="73">
        <f t="shared" si="38"/>
        <v>0</v>
      </c>
      <c r="N129" s="83">
        <v>0</v>
      </c>
      <c r="O129" s="47">
        <v>500</v>
      </c>
      <c r="P129" s="46">
        <f t="shared" si="46"/>
        <v>0</v>
      </c>
      <c r="Q129" s="47"/>
      <c r="R129" s="76">
        <f t="shared" si="34"/>
        <v>0</v>
      </c>
      <c r="S129" s="48">
        <v>0</v>
      </c>
      <c r="T129" s="47">
        <v>100</v>
      </c>
      <c r="U129" s="46">
        <f t="shared" si="47"/>
        <v>0</v>
      </c>
      <c r="V129" s="45"/>
      <c r="W129" s="73">
        <f t="shared" si="42"/>
        <v>0</v>
      </c>
      <c r="X129" s="83">
        <v>0</v>
      </c>
      <c r="Y129" s="47"/>
      <c r="Z129" s="47"/>
      <c r="AA129" s="73">
        <f t="shared" si="39"/>
        <v>0</v>
      </c>
      <c r="AB129" s="47">
        <v>0</v>
      </c>
      <c r="AC129" s="47"/>
      <c r="AD129" s="47"/>
      <c r="AE129" s="47"/>
      <c r="AF129" s="20">
        <f t="shared" si="48"/>
        <v>1728</v>
      </c>
      <c r="AG129" s="9">
        <f t="shared" si="49"/>
        <v>826.79425837320582</v>
      </c>
      <c r="AH129" s="11">
        <f t="shared" si="51"/>
        <v>1776</v>
      </c>
      <c r="AI129" s="12">
        <f t="shared" si="50"/>
        <v>849.76076555023928</v>
      </c>
      <c r="AJ129" s="25"/>
      <c r="AK129" s="53" t="s">
        <v>114</v>
      </c>
    </row>
    <row r="130" spans="1:37" x14ac:dyDescent="0.25">
      <c r="A130" s="59">
        <v>20</v>
      </c>
      <c r="B130" s="57" t="s">
        <v>35</v>
      </c>
      <c r="C130" s="81">
        <v>1.9</v>
      </c>
      <c r="D130" s="81">
        <v>76</v>
      </c>
      <c r="E130" s="45">
        <v>150</v>
      </c>
      <c r="F130" s="46">
        <f t="shared" si="44"/>
        <v>0</v>
      </c>
      <c r="G130" s="45"/>
      <c r="H130" s="73">
        <f t="shared" si="31"/>
        <v>0</v>
      </c>
      <c r="I130" s="83">
        <v>0</v>
      </c>
      <c r="J130" s="47"/>
      <c r="K130" s="46">
        <f t="shared" si="45"/>
        <v>0</v>
      </c>
      <c r="L130" s="45"/>
      <c r="M130" s="73">
        <f t="shared" si="38"/>
        <v>0</v>
      </c>
      <c r="N130" s="83">
        <v>0</v>
      </c>
      <c r="O130" s="47">
        <v>500</v>
      </c>
      <c r="P130" s="46">
        <f t="shared" si="46"/>
        <v>0</v>
      </c>
      <c r="Q130" s="47"/>
      <c r="R130" s="76">
        <f t="shared" si="34"/>
        <v>0</v>
      </c>
      <c r="S130" s="48">
        <v>0</v>
      </c>
      <c r="T130" s="47">
        <v>100</v>
      </c>
      <c r="U130" s="46">
        <f t="shared" si="47"/>
        <v>0</v>
      </c>
      <c r="V130" s="45"/>
      <c r="W130" s="73">
        <f t="shared" si="42"/>
        <v>0</v>
      </c>
      <c r="X130" s="83">
        <v>0</v>
      </c>
      <c r="Y130" s="47"/>
      <c r="Z130" s="47"/>
      <c r="AA130" s="73">
        <f t="shared" si="39"/>
        <v>0</v>
      </c>
      <c r="AB130" s="47">
        <v>0</v>
      </c>
      <c r="AC130" s="47"/>
      <c r="AD130" s="47"/>
      <c r="AE130" s="47"/>
      <c r="AF130" s="20">
        <f t="shared" si="48"/>
        <v>0</v>
      </c>
      <c r="AG130" s="9">
        <f t="shared" si="49"/>
        <v>0</v>
      </c>
      <c r="AH130" s="11">
        <f t="shared" si="51"/>
        <v>0</v>
      </c>
      <c r="AI130" s="12">
        <f t="shared" si="50"/>
        <v>0</v>
      </c>
      <c r="AJ130" s="25"/>
      <c r="AK130" s="57" t="s">
        <v>35</v>
      </c>
    </row>
    <row r="131" spans="1:37" x14ac:dyDescent="0.25">
      <c r="A131" s="59">
        <v>21</v>
      </c>
      <c r="B131" s="23" t="s">
        <v>115</v>
      </c>
      <c r="C131" s="81">
        <v>2.8</v>
      </c>
      <c r="D131" s="82">
        <v>57</v>
      </c>
      <c r="E131" s="45">
        <v>500</v>
      </c>
      <c r="F131" s="46">
        <f>D131*G131/1000</f>
        <v>0</v>
      </c>
      <c r="G131" s="45"/>
      <c r="H131" s="73">
        <f t="shared" si="31"/>
        <v>0</v>
      </c>
      <c r="I131" s="83">
        <v>0</v>
      </c>
      <c r="J131" s="47">
        <v>400</v>
      </c>
      <c r="K131" s="46">
        <f>L131*D131/1000</f>
        <v>0</v>
      </c>
      <c r="L131" s="45"/>
      <c r="M131" s="73">
        <f t="shared" si="38"/>
        <v>0</v>
      </c>
      <c r="N131" s="83">
        <v>0</v>
      </c>
      <c r="O131" s="47">
        <v>500</v>
      </c>
      <c r="P131" s="46">
        <f t="shared" si="46"/>
        <v>0</v>
      </c>
      <c r="Q131" s="47"/>
      <c r="R131" s="76">
        <f t="shared" si="34"/>
        <v>0</v>
      </c>
      <c r="S131" s="48">
        <v>0</v>
      </c>
      <c r="T131" s="47"/>
      <c r="U131" s="46">
        <f t="shared" si="47"/>
        <v>0</v>
      </c>
      <c r="V131" s="45"/>
      <c r="W131" s="73">
        <f t="shared" si="42"/>
        <v>0</v>
      </c>
      <c r="X131" s="83">
        <v>0</v>
      </c>
      <c r="Y131" s="47"/>
      <c r="Z131" s="47"/>
      <c r="AA131" s="73">
        <f t="shared" si="39"/>
        <v>0</v>
      </c>
      <c r="AB131" s="47">
        <v>0</v>
      </c>
      <c r="AC131" s="47"/>
      <c r="AD131" s="47">
        <v>1500</v>
      </c>
      <c r="AE131" s="47">
        <v>4500</v>
      </c>
      <c r="AF131" s="20">
        <f t="shared" si="48"/>
        <v>4500</v>
      </c>
      <c r="AG131" s="9">
        <f t="shared" si="49"/>
        <v>1607.1428571428573</v>
      </c>
      <c r="AH131" s="11">
        <f t="shared" si="51"/>
        <v>4500</v>
      </c>
      <c r="AI131" s="12">
        <f t="shared" si="50"/>
        <v>1607.1428571428573</v>
      </c>
      <c r="AJ131" s="25"/>
      <c r="AK131" s="56" t="s">
        <v>115</v>
      </c>
    </row>
    <row r="132" spans="1:37" x14ac:dyDescent="0.25">
      <c r="A132" s="59">
        <v>22</v>
      </c>
      <c r="B132" s="16" t="s">
        <v>36</v>
      </c>
      <c r="C132" s="81">
        <v>3.27</v>
      </c>
      <c r="D132" s="81">
        <v>33</v>
      </c>
      <c r="E132" s="45">
        <v>600</v>
      </c>
      <c r="F132" s="46">
        <f>D132*G132/1000</f>
        <v>19.8</v>
      </c>
      <c r="G132" s="45">
        <v>600</v>
      </c>
      <c r="H132" s="73">
        <f t="shared" si="31"/>
        <v>183.48623853211009</v>
      </c>
      <c r="I132" s="83">
        <v>2160</v>
      </c>
      <c r="J132" s="47">
        <v>150</v>
      </c>
      <c r="K132" s="46">
        <f>L132*D132/1000</f>
        <v>11.55</v>
      </c>
      <c r="L132" s="45">
        <v>350</v>
      </c>
      <c r="M132" s="73">
        <f t="shared" si="38"/>
        <v>107.03363914373088</v>
      </c>
      <c r="N132" s="83">
        <v>1225</v>
      </c>
      <c r="O132" s="47">
        <v>500</v>
      </c>
      <c r="P132" s="46">
        <f t="shared" si="46"/>
        <v>0</v>
      </c>
      <c r="Q132" s="47"/>
      <c r="R132" s="76">
        <f t="shared" si="34"/>
        <v>0</v>
      </c>
      <c r="S132" s="48">
        <v>0</v>
      </c>
      <c r="T132" s="47">
        <v>200</v>
      </c>
      <c r="U132" s="46">
        <f t="shared" si="47"/>
        <v>0</v>
      </c>
      <c r="V132" s="45"/>
      <c r="W132" s="73">
        <f t="shared" si="42"/>
        <v>0</v>
      </c>
      <c r="X132" s="83">
        <v>0</v>
      </c>
      <c r="Y132" s="47" t="s">
        <v>24</v>
      </c>
      <c r="Z132" s="47">
        <v>100</v>
      </c>
      <c r="AA132" s="73">
        <f t="shared" si="39"/>
        <v>30.581039755351682</v>
      </c>
      <c r="AB132" s="47">
        <v>400</v>
      </c>
      <c r="AC132" s="47"/>
      <c r="AD132" s="47"/>
      <c r="AE132" s="47"/>
      <c r="AF132" s="20">
        <f>I132+N132+S132+X132+AB132+AE132</f>
        <v>3785</v>
      </c>
      <c r="AG132" s="9">
        <f t="shared" si="49"/>
        <v>1157.492354740061</v>
      </c>
      <c r="AH132" s="11">
        <f>G132*3.7+L132*3.7+Q132*4.2+V132*7.5+Z132*5+AE132</f>
        <v>4015</v>
      </c>
      <c r="AI132" s="12">
        <f t="shared" si="50"/>
        <v>1227.82874617737</v>
      </c>
      <c r="AJ132" s="25"/>
      <c r="AK132" s="58" t="s">
        <v>36</v>
      </c>
    </row>
    <row r="133" spans="1:37" x14ac:dyDescent="0.25">
      <c r="A133" s="67"/>
      <c r="B133" s="68" t="s">
        <v>37</v>
      </c>
      <c r="C133" s="63">
        <v>2.48</v>
      </c>
      <c r="D133" s="69">
        <f>SUM(D111:D132)</f>
        <v>4042.5</v>
      </c>
      <c r="E133" s="69" t="s">
        <v>46</v>
      </c>
      <c r="F133" s="62">
        <f>SUM(F111:F132)</f>
        <v>866.95399999999995</v>
      </c>
      <c r="G133" s="69">
        <f>F133/2743*1000</f>
        <v>316.0605176813707</v>
      </c>
      <c r="H133" s="62">
        <f>G133/C133</f>
        <v>127.44375712958497</v>
      </c>
      <c r="I133" s="62">
        <f>SUM(I111:I132)/11</f>
        <v>1158.8727272727274</v>
      </c>
      <c r="J133" s="62" t="s">
        <v>46</v>
      </c>
      <c r="K133" s="62">
        <f>SUM(K111:K132)</f>
        <v>324.214</v>
      </c>
      <c r="L133" s="70">
        <f>K133/1553.5*1000</f>
        <v>208.69906662375283</v>
      </c>
      <c r="M133" s="70">
        <f>L133/C133</f>
        <v>84.152849445061619</v>
      </c>
      <c r="N133" s="62">
        <f>SUM(N111:N132)/9</f>
        <v>891.77777777777783</v>
      </c>
      <c r="O133" s="62" t="s">
        <v>46</v>
      </c>
      <c r="P133" s="62">
        <f>SUM(P111:P132)</f>
        <v>140.92699999999999</v>
      </c>
      <c r="Q133" s="62">
        <f>P133/1038*1000</f>
        <v>135.76782273603084</v>
      </c>
      <c r="R133" s="62">
        <f>Q133/C133</f>
        <v>54.745089812915658</v>
      </c>
      <c r="S133" s="62">
        <f>SUM(S111:S132)/5</f>
        <v>707</v>
      </c>
      <c r="T133" s="62" t="s">
        <v>46</v>
      </c>
      <c r="U133" s="62">
        <f>SUM(U111:U132)</f>
        <v>116.61600000000001</v>
      </c>
      <c r="V133" s="62">
        <f>U133/1569*1000</f>
        <v>74.325047801147235</v>
      </c>
      <c r="W133" s="70">
        <f>V133/C133</f>
        <v>29.969777339172271</v>
      </c>
      <c r="X133" s="62">
        <f>SUM(X111:X132)/8</f>
        <v>709.69999999999993</v>
      </c>
      <c r="Y133" s="62" t="s">
        <v>46</v>
      </c>
      <c r="Z133" s="62" t="s">
        <v>46</v>
      </c>
      <c r="AA133" s="62" t="s">
        <v>46</v>
      </c>
      <c r="AB133" s="62" t="s">
        <v>46</v>
      </c>
      <c r="AC133" s="70" t="s">
        <v>46</v>
      </c>
      <c r="AD133" s="70" t="s">
        <v>46</v>
      </c>
      <c r="AE133" s="70" t="s">
        <v>46</v>
      </c>
      <c r="AF133" s="70">
        <f>SUM(AF111:AF132)/19</f>
        <v>2241.378947368421</v>
      </c>
      <c r="AG133" s="71">
        <f>AF133/C133</f>
        <v>903.78183361629874</v>
      </c>
      <c r="AH133" s="71">
        <f>SUM(AH111:AH127)/19</f>
        <v>1732.7210526315787</v>
      </c>
      <c r="AI133" s="71">
        <f>AH133/C133</f>
        <v>698.67784380305591</v>
      </c>
      <c r="AJ133" s="70"/>
      <c r="AK133" s="70" t="s">
        <v>37</v>
      </c>
    </row>
    <row r="134" spans="1:37" x14ac:dyDescent="0.25">
      <c r="A134" s="85"/>
      <c r="B134" s="86" t="s">
        <v>47</v>
      </c>
      <c r="C134" s="88">
        <v>1.99</v>
      </c>
      <c r="D134" s="89">
        <f>D77+D110+D133</f>
        <v>37325.800000000003</v>
      </c>
      <c r="E134" s="90" t="s">
        <v>46</v>
      </c>
      <c r="F134" s="89">
        <f>F77+F110+F133</f>
        <v>11116.121500000001</v>
      </c>
      <c r="G134" s="89">
        <f>F134/32121.8*1000</f>
        <v>346.06159991034127</v>
      </c>
      <c r="H134" s="89">
        <f>G134/C134</f>
        <v>173.90030146248304</v>
      </c>
      <c r="I134" s="90">
        <f>(I77+I110+I133)/3</f>
        <v>1115.7223583662715</v>
      </c>
      <c r="J134" s="90" t="s">
        <v>46</v>
      </c>
      <c r="K134" s="89">
        <f>K77+K110+K133</f>
        <v>1765.085</v>
      </c>
      <c r="L134" s="89">
        <f>K134/19308.6*1000</f>
        <v>91.414447448287305</v>
      </c>
      <c r="M134" s="91">
        <f>L134/C134</f>
        <v>45.936908265471011</v>
      </c>
      <c r="N134" s="90">
        <f>(N77+N110+N133)/3</f>
        <v>476.97592592592599</v>
      </c>
      <c r="O134" s="91" t="s">
        <v>46</v>
      </c>
      <c r="P134" s="91">
        <f>P77+P110+P133</f>
        <v>2017.7909999999999</v>
      </c>
      <c r="Q134" s="91">
        <f>P134/13351*1000</f>
        <v>151.13407235413075</v>
      </c>
      <c r="R134" s="91">
        <f>Q134/C134</f>
        <v>75.946770027201381</v>
      </c>
      <c r="S134" s="91">
        <f>(S77+S110+S133)/3</f>
        <v>681.01570512820513</v>
      </c>
      <c r="T134" s="91" t="s">
        <v>46</v>
      </c>
      <c r="U134" s="91">
        <f>U77+U110+U133</f>
        <v>2530.7349999999997</v>
      </c>
      <c r="V134" s="91">
        <f>U134/30855.8*1000</f>
        <v>82.018129492672358</v>
      </c>
      <c r="W134" s="89">
        <f>V134/C134</f>
        <v>41.215140448579078</v>
      </c>
      <c r="X134" s="90">
        <f>(X77+X110+X133)/3</f>
        <v>629.32691358024692</v>
      </c>
      <c r="Y134" s="90" t="s">
        <v>46</v>
      </c>
      <c r="Z134" s="90" t="s">
        <v>46</v>
      </c>
      <c r="AA134" s="90" t="s">
        <v>46</v>
      </c>
      <c r="AB134" s="90" t="s">
        <v>46</v>
      </c>
      <c r="AC134" s="90" t="s">
        <v>46</v>
      </c>
      <c r="AD134" s="90" t="s">
        <v>46</v>
      </c>
      <c r="AE134" s="87" t="s">
        <v>46</v>
      </c>
      <c r="AF134" s="87">
        <f>(AF77+AF110+AF133)/3</f>
        <v>2038.8674077434969</v>
      </c>
      <c r="AG134" s="89">
        <f>AF134/C134</f>
        <v>1024.5564863032648</v>
      </c>
      <c r="AH134" s="89">
        <f>(AH77+AH110+AH133)/3</f>
        <v>2162.0445534633996</v>
      </c>
      <c r="AI134" s="89">
        <f>AH134/C134</f>
        <v>1086.4545494790952</v>
      </c>
      <c r="AJ134" s="87"/>
      <c r="AK134" s="87" t="s">
        <v>47</v>
      </c>
    </row>
  </sheetData>
  <mergeCells count="34">
    <mergeCell ref="AH4:AH5"/>
    <mergeCell ref="AI4:AI5"/>
    <mergeCell ref="Q4:S4"/>
    <mergeCell ref="T4:T5"/>
    <mergeCell ref="U4:U5"/>
    <mergeCell ref="V4:X4"/>
    <mergeCell ref="Y4:Y5"/>
    <mergeCell ref="Z4:AB4"/>
    <mergeCell ref="F4:F5"/>
    <mergeCell ref="J4:J5"/>
    <mergeCell ref="K4:K5"/>
    <mergeCell ref="L4:N4"/>
    <mergeCell ref="O4:O5"/>
    <mergeCell ref="P4:P5"/>
    <mergeCell ref="Y3:AB3"/>
    <mergeCell ref="AC3:AE3"/>
    <mergeCell ref="AF3:AG3"/>
    <mergeCell ref="AH3:AI3"/>
    <mergeCell ref="AJ3:AJ5"/>
    <mergeCell ref="AK3:AK5"/>
    <mergeCell ref="AC4:AC5"/>
    <mergeCell ref="AD4:AE4"/>
    <mergeCell ref="AF4:AF5"/>
    <mergeCell ref="AG4:AG5"/>
    <mergeCell ref="B2:X2"/>
    <mergeCell ref="A3:A5"/>
    <mergeCell ref="B3:B5"/>
    <mergeCell ref="C3:C5"/>
    <mergeCell ref="D3:D5"/>
    <mergeCell ref="E3:I3"/>
    <mergeCell ref="J3:N3"/>
    <mergeCell ref="O3:S3"/>
    <mergeCell ref="T3:X3"/>
    <mergeCell ref="E4:E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</dc:creator>
  <cp:lastModifiedBy>Windows</cp:lastModifiedBy>
  <cp:lastPrinted>2020-12-18T11:11:32Z</cp:lastPrinted>
  <dcterms:created xsi:type="dcterms:W3CDTF">2017-12-08T14:32:23Z</dcterms:created>
  <dcterms:modified xsi:type="dcterms:W3CDTF">2020-12-18T11:13:38Z</dcterms:modified>
</cp:coreProperties>
</file>